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490" windowHeight="6255" tabRatio="829" firstSheet="4" activeTab="22"/>
  </bookViews>
  <sheets>
    <sheet name="Cover" sheetId="50" state="hidden" r:id="rId1"/>
    <sheet name="Front" sheetId="7" state="hidden" r:id="rId2"/>
    <sheet name="Contents" sheetId="52" state="hidden" r:id="rId3"/>
    <sheet name="BS" sheetId="10" state="hidden" r:id="rId4"/>
    <sheet name="2 (IS)" sheetId="54" r:id="rId5"/>
    <sheet name="3 (OCI)" sheetId="55" r:id="rId6"/>
    <sheet name="Debenture (2)" sheetId="83" r:id="rId7"/>
    <sheet name="Shares (2)" sheetId="81" r:id="rId8"/>
    <sheet name="P &amp; L company" sheetId="8" state="hidden" r:id="rId9"/>
    <sheet name="P &amp; L group" sheetId="39" state="hidden" r:id="rId10"/>
    <sheet name="Compreh. In Co" sheetId="9" state="hidden" r:id="rId11"/>
    <sheet name="Compreh. In Gr" sheetId="40" state="hidden" r:id="rId12"/>
    <sheet name="CE_Company" sheetId="11" state="hidden" r:id="rId13"/>
    <sheet name="CE_Group" sheetId="14" state="hidden" r:id="rId14"/>
    <sheet name="CF final" sheetId="37" state="hidden" r:id="rId15"/>
    <sheet name="Segment" sheetId="45" state="hidden" r:id="rId16"/>
    <sheet name="Shares" sheetId="3" state="hidden" r:id="rId17"/>
    <sheet name="Shareholders" sheetId="4" state="hidden" r:id="rId18"/>
    <sheet name="Notes" sheetId="1" state="hidden" r:id="rId19"/>
    <sheet name="Debenture" sheetId="6" state="hidden" r:id="rId20"/>
    <sheet name="Cop Infor" sheetId="60" state="hidden" r:id="rId21"/>
    <sheet name="End" sheetId="51" state="hidden" r:id="rId22"/>
    <sheet name="1 (BS)" sheetId="61" r:id="rId23"/>
    <sheet name="4 (Ratios) (2)" sheetId="80" r:id="rId24"/>
    <sheet name="Shareholders (2)" sheetId="82" r:id="rId25"/>
    <sheet name="4 (Ratios)" sheetId="5" state="hidden" r:id="rId26"/>
    <sheet name="Ratio cal" sheetId="29" state="hidden" r:id="rId27"/>
    <sheet name="P &amp; L (C &amp; G)" sheetId="56" state="hidden" r:id="rId28"/>
    <sheet name="P &amp; L (company)" sheetId="20" state="hidden" r:id="rId29"/>
    <sheet name="P &amp; L (group)" sheetId="38" state="hidden" r:id="rId30"/>
    <sheet name="Compreh. Income (C &amp; G)" sheetId="57" state="hidden" r:id="rId31"/>
    <sheet name="Compreh. Income (C)" sheetId="21" state="hidden" r:id="rId32"/>
    <sheet name="Compreh. Income (G)" sheetId="41" state="hidden" r:id="rId33"/>
    <sheet name="BS (3)" sheetId="22" state="hidden" r:id="rId34"/>
    <sheet name="CE_Company (2)" sheetId="23" state="hidden" r:id="rId35"/>
    <sheet name="CE_Group 1 (2)" sheetId="24" state="hidden" r:id="rId36"/>
    <sheet name="CF (3)" sheetId="49" state="hidden" r:id="rId37"/>
    <sheet name="BS (4)" sheetId="48" state="hidden" r:id="rId38"/>
    <sheet name="Segment final" sheetId="35" state="hidden" r:id="rId39"/>
    <sheet name="CF Working - 2014" sheetId="30" state="hidden" r:id="rId40"/>
    <sheet name="CF Working - 2013" sheetId="59" state="hidden" r:id="rId41"/>
    <sheet name="Contingencies &amp; comm" sheetId="28" state="hidden" r:id="rId42"/>
    <sheet name="Sheet1" sheetId="33" state="hidden" r:id="rId43"/>
    <sheet name="Sheet3" sheetId="47" state="hidden" r:id="rId44"/>
  </sheets>
  <externalReferences>
    <externalReference r:id="rId45"/>
    <externalReference r:id="rId46"/>
    <externalReference r:id="rId47"/>
    <externalReference r:id="rId48"/>
    <externalReference r:id="rId49"/>
    <externalReference r:id="rId50"/>
  </externalReferences>
  <definedNames>
    <definedName name="\a" localSheetId="22">[1]Accounts!#REF!</definedName>
    <definedName name="\a" localSheetId="4">[1]Accounts!#REF!</definedName>
    <definedName name="\a" localSheetId="5">[1]Accounts!#REF!</definedName>
    <definedName name="\a" localSheetId="3">[1]Accounts!#REF!</definedName>
    <definedName name="\a" localSheetId="33">[1]Accounts!#REF!</definedName>
    <definedName name="\a" localSheetId="37">[1]Accounts!#REF!</definedName>
    <definedName name="\a" localSheetId="12">[1]Accounts!#REF!</definedName>
    <definedName name="\a" localSheetId="34">[1]Accounts!#REF!</definedName>
    <definedName name="\a" localSheetId="13">[1]Accounts!#REF!</definedName>
    <definedName name="\a" localSheetId="35">[1]Accounts!#REF!</definedName>
    <definedName name="\a" localSheetId="36">[1]Accounts!#REF!</definedName>
    <definedName name="\a" localSheetId="14">[1]Accounts!#REF!</definedName>
    <definedName name="\a" localSheetId="40">[1]Accounts!#REF!</definedName>
    <definedName name="\a" localSheetId="11">[1]Accounts!#REF!</definedName>
    <definedName name="\a" localSheetId="30">[1]Accounts!#REF!</definedName>
    <definedName name="\a" localSheetId="32">[1]Accounts!#REF!</definedName>
    <definedName name="\a" localSheetId="27">[1]Accounts!#REF!</definedName>
    <definedName name="\a" localSheetId="28">[1]Accounts!#REF!</definedName>
    <definedName name="\a" localSheetId="29">[1]Accounts!#REF!</definedName>
    <definedName name="\a" localSheetId="9">[1]Accounts!#REF!</definedName>
    <definedName name="\a" localSheetId="26">[1]Accounts!#REF!</definedName>
    <definedName name="\a" localSheetId="15">[1]Accounts!#REF!</definedName>
    <definedName name="\a" localSheetId="38">[1]Accounts!#REF!</definedName>
    <definedName name="\a">[1]Accounts!#REF!</definedName>
    <definedName name="\d" localSheetId="22">[1]Accounts!#REF!</definedName>
    <definedName name="\d" localSheetId="4">[1]Accounts!#REF!</definedName>
    <definedName name="\d" localSheetId="5">[1]Accounts!#REF!</definedName>
    <definedName name="\d" localSheetId="3">[1]Accounts!#REF!</definedName>
    <definedName name="\d" localSheetId="33">[1]Accounts!#REF!</definedName>
    <definedName name="\d" localSheetId="37">[1]Accounts!#REF!</definedName>
    <definedName name="\d" localSheetId="12">[1]Accounts!#REF!</definedName>
    <definedName name="\d" localSheetId="34">[1]Accounts!#REF!</definedName>
    <definedName name="\d" localSheetId="13">[1]Accounts!#REF!</definedName>
    <definedName name="\d" localSheetId="35">[1]Accounts!#REF!</definedName>
    <definedName name="\d" localSheetId="36">[1]Accounts!#REF!</definedName>
    <definedName name="\d" localSheetId="14">[1]Accounts!#REF!</definedName>
    <definedName name="\d" localSheetId="40">[1]Accounts!#REF!</definedName>
    <definedName name="\d" localSheetId="11">[1]Accounts!#REF!</definedName>
    <definedName name="\d" localSheetId="30">[1]Accounts!#REF!</definedName>
    <definedName name="\d" localSheetId="32">[1]Accounts!#REF!</definedName>
    <definedName name="\d" localSheetId="27">[1]Accounts!#REF!</definedName>
    <definedName name="\d" localSheetId="28">[1]Accounts!#REF!</definedName>
    <definedName name="\d" localSheetId="29">[1]Accounts!#REF!</definedName>
    <definedName name="\d" localSheetId="9">[1]Accounts!#REF!</definedName>
    <definedName name="\d" localSheetId="26">[1]Accounts!#REF!</definedName>
    <definedName name="\d" localSheetId="15">[1]Accounts!#REF!</definedName>
    <definedName name="\d">[1]Accounts!#REF!</definedName>
    <definedName name="\e" localSheetId="22">[1]Accounts!#REF!</definedName>
    <definedName name="\e" localSheetId="4">[1]Accounts!#REF!</definedName>
    <definedName name="\e" localSheetId="5">[1]Accounts!#REF!</definedName>
    <definedName name="\e" localSheetId="3">[1]Accounts!#REF!</definedName>
    <definedName name="\e" localSheetId="33">[1]Accounts!#REF!</definedName>
    <definedName name="\e" localSheetId="37">[1]Accounts!#REF!</definedName>
    <definedName name="\e" localSheetId="12">[1]Accounts!#REF!</definedName>
    <definedName name="\e" localSheetId="34">[1]Accounts!#REF!</definedName>
    <definedName name="\e" localSheetId="13">[1]Accounts!#REF!</definedName>
    <definedName name="\e" localSheetId="35">[1]Accounts!#REF!</definedName>
    <definedName name="\e" localSheetId="36">[1]Accounts!#REF!</definedName>
    <definedName name="\e" localSheetId="14">[1]Accounts!#REF!</definedName>
    <definedName name="\e" localSheetId="40">[1]Accounts!#REF!</definedName>
    <definedName name="\e" localSheetId="11">[1]Accounts!#REF!</definedName>
    <definedName name="\e" localSheetId="30">[1]Accounts!#REF!</definedName>
    <definedName name="\e" localSheetId="32">[1]Accounts!#REF!</definedName>
    <definedName name="\e" localSheetId="27">[1]Accounts!#REF!</definedName>
    <definedName name="\e" localSheetId="28">[1]Accounts!#REF!</definedName>
    <definedName name="\e" localSheetId="29">[1]Accounts!#REF!</definedName>
    <definedName name="\e" localSheetId="9">[1]Accounts!#REF!</definedName>
    <definedName name="\e" localSheetId="26">[1]Accounts!#REF!</definedName>
    <definedName name="\e" localSheetId="15">[1]Accounts!#REF!</definedName>
    <definedName name="\e">[1]Accounts!#REF!</definedName>
    <definedName name="_" localSheetId="22">#REF!</definedName>
    <definedName name="_" localSheetId="4">#REF!</definedName>
    <definedName name="_" localSheetId="5">#REF!</definedName>
    <definedName name="_" localSheetId="23">#REF!</definedName>
    <definedName name="_" localSheetId="3">#REF!</definedName>
    <definedName name="_" localSheetId="33">#REF!</definedName>
    <definedName name="_" localSheetId="37">#REF!</definedName>
    <definedName name="_" localSheetId="12">#REF!</definedName>
    <definedName name="_" localSheetId="34">#REF!</definedName>
    <definedName name="_" localSheetId="13">#REF!</definedName>
    <definedName name="_" localSheetId="35">#REF!</definedName>
    <definedName name="_" localSheetId="36">#REF!</definedName>
    <definedName name="_" localSheetId="14">#REF!</definedName>
    <definedName name="_" localSheetId="40">#REF!</definedName>
    <definedName name="_" localSheetId="11">#REF!</definedName>
    <definedName name="_" localSheetId="30">#REF!</definedName>
    <definedName name="_" localSheetId="32">#REF!</definedName>
    <definedName name="_" localSheetId="27">#REF!</definedName>
    <definedName name="_" localSheetId="28">#REF!</definedName>
    <definedName name="_" localSheetId="29">#REF!</definedName>
    <definedName name="_" localSheetId="9">#REF!</definedName>
    <definedName name="_" localSheetId="15">#REF!</definedName>
    <definedName name="_" localSheetId="38">#REF!</definedName>
    <definedName name="_">#REF!</definedName>
    <definedName name="_______________" localSheetId="23">#REF!</definedName>
    <definedName name="_______________">#REF!</definedName>
    <definedName name="________________28" localSheetId="23">#REF!</definedName>
    <definedName name="________________28">#REF!</definedName>
    <definedName name="________________7">"$CF.$#REF!$#REF!"</definedName>
    <definedName name="_A">"$A_2005.$#REF!$#REF!:$#REF!$#REF!"</definedName>
    <definedName name="_A_28" localSheetId="23">#REF!</definedName>
    <definedName name="_A_28">#REF!</definedName>
    <definedName name="_A_7">"$CF.$#REF!$#REF!:$#REF!$#REF!"</definedName>
    <definedName name="_B" localSheetId="22">[1]Accounts!#REF!</definedName>
    <definedName name="_B" localSheetId="4">[1]Accounts!#REF!</definedName>
    <definedName name="_B" localSheetId="5">[1]Accounts!#REF!</definedName>
    <definedName name="_B" localSheetId="23">[1]Accounts!#REF!</definedName>
    <definedName name="_B" localSheetId="13">[1]Accounts!#REF!</definedName>
    <definedName name="_B" localSheetId="35">[1]Accounts!#REF!</definedName>
    <definedName name="_B" localSheetId="36">[1]Accounts!#REF!</definedName>
    <definedName name="_B" localSheetId="14">[1]Accounts!#REF!</definedName>
    <definedName name="_B" localSheetId="40">[1]Accounts!#REF!</definedName>
    <definedName name="_B" localSheetId="11">[1]Accounts!#REF!</definedName>
    <definedName name="_B" localSheetId="30">[1]Accounts!#REF!</definedName>
    <definedName name="_B" localSheetId="32">[1]Accounts!#REF!</definedName>
    <definedName name="_B" localSheetId="27">[1]Accounts!#REF!</definedName>
    <definedName name="_B" localSheetId="28">[1]Accounts!#REF!</definedName>
    <definedName name="_B" localSheetId="29">[1]Accounts!#REF!</definedName>
    <definedName name="_B" localSheetId="9">[1]Accounts!#REF!</definedName>
    <definedName name="_B" localSheetId="26">[1]Accounts!#REF!</definedName>
    <definedName name="_B" localSheetId="15">[1]Accounts!#REF!</definedName>
    <definedName name="_B" localSheetId="38">[1]Accounts!#REF!</definedName>
    <definedName name="_B">[1]Accounts!#REF!</definedName>
    <definedName name="_B_28" localSheetId="23">#REF!</definedName>
    <definedName name="_B_28">#REF!</definedName>
    <definedName name="_B_7">"$CF.$#REF!$#REF!:$#REF!$#REF!"</definedName>
    <definedName name="_C">"$A_2005.$#REF!$#REF!:$#REF!$#REF!"</definedName>
    <definedName name="_C_28" localSheetId="23">#REF!</definedName>
    <definedName name="_C_28">#REF!</definedName>
    <definedName name="_C_7">"$CF.$#REF!$#REF!:$#REF!$#REF!"</definedName>
    <definedName name="_E">"$A_2005.$#REF!$#REF!:$#REF!$#REF!"</definedName>
    <definedName name="_E_28" localSheetId="23">#REF!</definedName>
    <definedName name="_E_28">#REF!</definedName>
    <definedName name="_E_7">"$CF.$#REF!$#REF!:$#REF!$#REF!"</definedName>
    <definedName name="_Fill" localSheetId="22" hidden="1">[1]Accounts!#REF!</definedName>
    <definedName name="_Fill" localSheetId="4" hidden="1">[1]Accounts!#REF!</definedName>
    <definedName name="_Fill" localSheetId="5" hidden="1">[1]Accounts!#REF!</definedName>
    <definedName name="_Fill" localSheetId="23" hidden="1">[1]Accounts!#REF!</definedName>
    <definedName name="_Fill" localSheetId="13" hidden="1">[1]Accounts!#REF!</definedName>
    <definedName name="_Fill" localSheetId="35" hidden="1">[1]Accounts!#REF!</definedName>
    <definedName name="_Fill" localSheetId="36" hidden="1">[1]Accounts!#REF!</definedName>
    <definedName name="_Fill" localSheetId="14" hidden="1">[1]Accounts!#REF!</definedName>
    <definedName name="_Fill" localSheetId="40" hidden="1">[1]Accounts!#REF!</definedName>
    <definedName name="_Fill" localSheetId="11" hidden="1">[1]Accounts!#REF!</definedName>
    <definedName name="_Fill" localSheetId="30" hidden="1">[1]Accounts!#REF!</definedName>
    <definedName name="_Fill" localSheetId="32" hidden="1">[1]Accounts!#REF!</definedName>
    <definedName name="_Fill" localSheetId="27" hidden="1">[1]Accounts!#REF!</definedName>
    <definedName name="_Fill" localSheetId="28" hidden="1">[1]Accounts!#REF!</definedName>
    <definedName name="_Fill" localSheetId="29" hidden="1">[1]Accounts!#REF!</definedName>
    <definedName name="_Fill" localSheetId="9" hidden="1">[1]Accounts!#REF!</definedName>
    <definedName name="_Fill" localSheetId="26" hidden="1">[1]Accounts!#REF!</definedName>
    <definedName name="_Fill" localSheetId="15" hidden="1">[1]Accounts!#REF!</definedName>
    <definedName name="_Fill" hidden="1">[1]Accounts!#REF!</definedName>
    <definedName name="_G">"$A_2005.$#REF!$#REF!:$#REF!$#REF!"</definedName>
    <definedName name="_G_28" localSheetId="23">#REF!</definedName>
    <definedName name="_G_28">#REF!</definedName>
    <definedName name="_G_7">"$CF.$#REF!$#REF!:$#REF!$#REF!"</definedName>
    <definedName name="_H" localSheetId="23">#REF!</definedName>
    <definedName name="_H">#REF!</definedName>
    <definedName name="_H_28" localSheetId="23">#REF!</definedName>
    <definedName name="_H_28">#REF!</definedName>
    <definedName name="_H_7">"$CF.$#REF!$#REF!:$#REF!$#REF!"</definedName>
    <definedName name="_I">"$A_2005.$#REF!$#REF!:$#REF!$#REF!"</definedName>
    <definedName name="_I_28" localSheetId="23">#REF!</definedName>
    <definedName name="_I_28">#REF!</definedName>
    <definedName name="_I_7">"$CF.$#REF!$#REF!:$#REF!$#REF!"</definedName>
    <definedName name="_J" localSheetId="23">#REF!</definedName>
    <definedName name="_J">#REF!</definedName>
    <definedName name="_J_28" localSheetId="23">#REF!</definedName>
    <definedName name="_J_28">#REF!</definedName>
    <definedName name="_J_7">"$CF.$#REF!$#REF!:$#REF!$#REF!"</definedName>
    <definedName name="_K" localSheetId="23">#REF!</definedName>
    <definedName name="_K">#REF!</definedName>
    <definedName name="_K_28" localSheetId="23">#REF!</definedName>
    <definedName name="_K_28">#REF!</definedName>
    <definedName name="_K_7">"$CF.$#REF!$#REF!:$#REF!$#REF!"</definedName>
    <definedName name="_L" localSheetId="23">#REF!</definedName>
    <definedName name="_L">#REF!</definedName>
    <definedName name="_L_28" localSheetId="23">#REF!</definedName>
    <definedName name="_L_28">#REF!</definedName>
    <definedName name="_L_7">"$CF.$#REF!$#REF!:$#REF!$#REF!"</definedName>
    <definedName name="_M">"$A_2005.$#REF!$#REF!:$#REF!$#REF!"</definedName>
    <definedName name="_M_28" localSheetId="23">#REF!</definedName>
    <definedName name="_M_28">#REF!</definedName>
    <definedName name="_M_7">"$CF.$#REF!$#REF!:$#REF!$#REF!"</definedName>
    <definedName name="_N">"$A_2005.$#REF!$#REF!:$#REF!$#REF!"</definedName>
    <definedName name="_N_28" localSheetId="23">#REF!</definedName>
    <definedName name="_N_28">#REF!</definedName>
    <definedName name="_N_7">"$CF.$#REF!$#REF!:$#REF!$#REF!"</definedName>
    <definedName name="_O">"$A_2005.$#REF!$#REF!:$#REF!$#REF!"</definedName>
    <definedName name="_O_28" localSheetId="23">#REF!</definedName>
    <definedName name="_O_28">#REF!</definedName>
    <definedName name="_O_7">"$CF.$#REF!$#REF!:$#REF!$#REF!"</definedName>
    <definedName name="_P">"$A_2005.$#REF!$#REF!:$#REF!$#REF!"</definedName>
    <definedName name="_P_28" localSheetId="23">#REF!</definedName>
    <definedName name="_P_28">#REF!</definedName>
    <definedName name="_P_7">"$CF.$#REF!$#REF!:$#REF!$#REF!"</definedName>
    <definedName name="_Q" localSheetId="23">#REF!</definedName>
    <definedName name="_Q">#REF!</definedName>
    <definedName name="_Q_28" localSheetId="23">#REF!</definedName>
    <definedName name="_Q_28">#REF!</definedName>
    <definedName name="_Q_7">"$CF.$#REF!$#REF!:$#REF!$#REF!"</definedName>
    <definedName name="_R">"$A_2005.$#REF!$#REF!:$#REF!$#REF!"</definedName>
    <definedName name="_R_28" localSheetId="23">#REF!</definedName>
    <definedName name="_R_28">#REF!</definedName>
    <definedName name="_R_7">"$CF.$#REF!$#REF!:$#REF!$#REF!"</definedName>
    <definedName name="_S">"$A_2005.$#REF!$#REF!:$#REF!$#REF!"</definedName>
    <definedName name="_S_28" localSheetId="23">#REF!</definedName>
    <definedName name="_S_28">#REF!</definedName>
    <definedName name="_S_7">"$CF.$#REF!$#REF!:$#REF!$#REF!"</definedName>
    <definedName name="_T">"$A_2005.$#REF!$#REF!:$#REF!$#REF!"</definedName>
    <definedName name="_T_28" localSheetId="23">#REF!</definedName>
    <definedName name="_T_28">#REF!</definedName>
    <definedName name="_T_7">"$CF.$#REF!$#REF!:$#REF!$#REF!"</definedName>
    <definedName name="_U">"$A_2005.$#REF!$#REF!:$#REF!$#REF!"</definedName>
    <definedName name="_U_28" localSheetId="23">#REF!</definedName>
    <definedName name="_U_28">#REF!</definedName>
    <definedName name="_U_7">"$CF.$#REF!$#REF!:$#REF!$#REF!"</definedName>
    <definedName name="_W">"$A_2005.$#REF!$#REF!:$#REF!$#REF!"</definedName>
    <definedName name="_W_28" localSheetId="23">#REF!</definedName>
    <definedName name="_W_28">#REF!</definedName>
    <definedName name="_W_7">"$CF.$#REF!$#REF!:$#REF!$#REF!"</definedName>
    <definedName name="_X" localSheetId="23">[2]Board!#REF!</definedName>
    <definedName name="_X">[2]Board!#REF!</definedName>
    <definedName name="_Z" localSheetId="23">[2]Board!#REF!</definedName>
    <definedName name="_Z">[2]Board!#REF!</definedName>
    <definedName name="a">[3]FCBU!$1:$1048576</definedName>
    <definedName name="aaaaaaaaaaaaa" localSheetId="23">#REF!</definedName>
    <definedName name="aaaaaaaaaaaaa">#REF!</definedName>
    <definedName name="ACCURED_EXPENSE" localSheetId="22">[1]Accounts!#REF!</definedName>
    <definedName name="ACCURED_EXPENSE" localSheetId="4">[1]Accounts!#REF!</definedName>
    <definedName name="ACCURED_EXPENSE" localSheetId="5">[1]Accounts!#REF!</definedName>
    <definedName name="ACCURED_EXPENSE" localSheetId="23">[1]Accounts!#REF!</definedName>
    <definedName name="ACCURED_EXPENSE" localSheetId="13">[1]Accounts!#REF!</definedName>
    <definedName name="ACCURED_EXPENSE" localSheetId="35">[1]Accounts!#REF!</definedName>
    <definedName name="ACCURED_EXPENSE" localSheetId="36">[1]Accounts!#REF!</definedName>
    <definedName name="ACCURED_EXPENSE" localSheetId="14">[1]Accounts!#REF!</definedName>
    <definedName name="ACCURED_EXPENSE" localSheetId="40">[1]Accounts!#REF!</definedName>
    <definedName name="ACCURED_EXPENSE" localSheetId="11">[1]Accounts!#REF!</definedName>
    <definedName name="ACCURED_EXPENSE" localSheetId="30">[1]Accounts!#REF!</definedName>
    <definedName name="ACCURED_EXPENSE" localSheetId="32">[1]Accounts!#REF!</definedName>
    <definedName name="ACCURED_EXPENSE" localSheetId="27">[1]Accounts!#REF!</definedName>
    <definedName name="ACCURED_EXPENSE" localSheetId="28">[1]Accounts!#REF!</definedName>
    <definedName name="ACCURED_EXPENSE" localSheetId="29">[1]Accounts!#REF!</definedName>
    <definedName name="ACCURED_EXPENSE" localSheetId="9">[1]Accounts!#REF!</definedName>
    <definedName name="ACCURED_EXPENSE" localSheetId="15">[1]Accounts!#REF!</definedName>
    <definedName name="ACCURED_EXPENSE">[1]Accounts!#REF!</definedName>
    <definedName name="BALANCE_SHEET" localSheetId="22">[1]Accounts!#REF!</definedName>
    <definedName name="BALANCE_SHEET" localSheetId="4">[1]Accounts!#REF!</definedName>
    <definedName name="BALANCE_SHEET" localSheetId="5">[1]Accounts!#REF!</definedName>
    <definedName name="BALANCE_SHEET" localSheetId="23">[1]Accounts!#REF!</definedName>
    <definedName name="BALANCE_SHEET" localSheetId="13">[1]Accounts!#REF!</definedName>
    <definedName name="BALANCE_SHEET" localSheetId="35">[1]Accounts!#REF!</definedName>
    <definedName name="BALANCE_SHEET" localSheetId="36">[1]Accounts!#REF!</definedName>
    <definedName name="BALANCE_SHEET" localSheetId="14">[1]Accounts!#REF!</definedName>
    <definedName name="BALANCE_SHEET" localSheetId="40">[1]Accounts!#REF!</definedName>
    <definedName name="BALANCE_SHEET" localSheetId="11">[1]Accounts!#REF!</definedName>
    <definedName name="BALANCE_SHEET" localSheetId="30">[1]Accounts!#REF!</definedName>
    <definedName name="BALANCE_SHEET" localSheetId="32">[1]Accounts!#REF!</definedName>
    <definedName name="BALANCE_SHEET" localSheetId="27">[1]Accounts!#REF!</definedName>
    <definedName name="BALANCE_SHEET" localSheetId="28">[1]Accounts!#REF!</definedName>
    <definedName name="BALANCE_SHEET" localSheetId="29">[1]Accounts!#REF!</definedName>
    <definedName name="BALANCE_SHEET" localSheetId="9">[1]Accounts!#REF!</definedName>
    <definedName name="BALANCE_SHEET" localSheetId="15">[1]Accounts!#REF!</definedName>
    <definedName name="BALANCE_SHEET">[1]Accounts!#REF!</definedName>
    <definedName name="Beg_Bal" localSheetId="22">#REF!</definedName>
    <definedName name="Beg_Bal" localSheetId="4">#REF!</definedName>
    <definedName name="Beg_Bal" localSheetId="5">#REF!</definedName>
    <definedName name="Beg_Bal" localSheetId="23">#REF!</definedName>
    <definedName name="Beg_Bal" localSheetId="3">#REF!</definedName>
    <definedName name="Beg_Bal" localSheetId="33">#REF!</definedName>
    <definedName name="Beg_Bal" localSheetId="37">#REF!</definedName>
    <definedName name="Beg_Bal" localSheetId="12">#REF!</definedName>
    <definedName name="Beg_Bal" localSheetId="34">#REF!</definedName>
    <definedName name="Beg_Bal" localSheetId="13">#REF!</definedName>
    <definedName name="Beg_Bal" localSheetId="35">#REF!</definedName>
    <definedName name="Beg_Bal" localSheetId="36">#REF!</definedName>
    <definedName name="Beg_Bal" localSheetId="14">#REF!</definedName>
    <definedName name="Beg_Bal" localSheetId="40">#REF!</definedName>
    <definedName name="Beg_Bal" localSheetId="11">#REF!</definedName>
    <definedName name="Beg_Bal" localSheetId="30">#REF!</definedName>
    <definedName name="Beg_Bal" localSheetId="32">#REF!</definedName>
    <definedName name="Beg_Bal" localSheetId="27">#REF!</definedName>
    <definedName name="Beg_Bal" localSheetId="28">#REF!</definedName>
    <definedName name="Beg_Bal" localSheetId="29">#REF!</definedName>
    <definedName name="Beg_Bal" localSheetId="9">#REF!</definedName>
    <definedName name="Beg_Bal" localSheetId="15">#REF!</definedName>
    <definedName name="Beg_Bal" localSheetId="38">#REF!</definedName>
    <definedName name="Beg_Bal">#REF!</definedName>
    <definedName name="corr">[4]Ruwan!$A:$D</definedName>
    <definedName name="CREDITORS" localSheetId="22">[1]Accounts!#REF!</definedName>
    <definedName name="CREDITORS" localSheetId="4">[1]Accounts!#REF!</definedName>
    <definedName name="CREDITORS" localSheetId="5">[1]Accounts!#REF!</definedName>
    <definedName name="CREDITORS" localSheetId="23">[1]Accounts!#REF!</definedName>
    <definedName name="CREDITORS" localSheetId="13">[1]Accounts!#REF!</definedName>
    <definedName name="CREDITORS" localSheetId="35">[1]Accounts!#REF!</definedName>
    <definedName name="CREDITORS" localSheetId="36">[1]Accounts!#REF!</definedName>
    <definedName name="CREDITORS" localSheetId="14">[1]Accounts!#REF!</definedName>
    <definedName name="CREDITORS" localSheetId="40">[1]Accounts!#REF!</definedName>
    <definedName name="CREDITORS" localSheetId="11">[1]Accounts!#REF!</definedName>
    <definedName name="CREDITORS" localSheetId="30">[1]Accounts!#REF!</definedName>
    <definedName name="CREDITORS" localSheetId="32">[1]Accounts!#REF!</definedName>
    <definedName name="CREDITORS" localSheetId="27">[1]Accounts!#REF!</definedName>
    <definedName name="CREDITORS" localSheetId="28">[1]Accounts!#REF!</definedName>
    <definedName name="CREDITORS" localSheetId="29">[1]Accounts!#REF!</definedName>
    <definedName name="CREDITORS" localSheetId="9">[1]Accounts!#REF!</definedName>
    <definedName name="CREDITORS" localSheetId="15">[1]Accounts!#REF!</definedName>
    <definedName name="CREDITORS" localSheetId="38">[1]Accounts!#REF!</definedName>
    <definedName name="CREDITORS">[1]Accounts!#REF!</definedName>
    <definedName name="Cum_Int" localSheetId="22">#REF!</definedName>
    <definedName name="Cum_Int" localSheetId="4">#REF!</definedName>
    <definedName name="Cum_Int" localSheetId="5">#REF!</definedName>
    <definedName name="Cum_Int" localSheetId="23">#REF!</definedName>
    <definedName name="Cum_Int" localSheetId="3">#REF!</definedName>
    <definedName name="Cum_Int" localSheetId="33">#REF!</definedName>
    <definedName name="Cum_Int" localSheetId="37">#REF!</definedName>
    <definedName name="Cum_Int" localSheetId="12">#REF!</definedName>
    <definedName name="Cum_Int" localSheetId="34">#REF!</definedName>
    <definedName name="Cum_Int" localSheetId="13">#REF!</definedName>
    <definedName name="Cum_Int" localSheetId="35">#REF!</definedName>
    <definedName name="Cum_Int" localSheetId="36">#REF!</definedName>
    <definedName name="Cum_Int" localSheetId="14">#REF!</definedName>
    <definedName name="Cum_Int" localSheetId="40">#REF!</definedName>
    <definedName name="Cum_Int" localSheetId="11">#REF!</definedName>
    <definedName name="Cum_Int" localSheetId="30">#REF!</definedName>
    <definedName name="Cum_Int" localSheetId="32">#REF!</definedName>
    <definedName name="Cum_Int" localSheetId="27">#REF!</definedName>
    <definedName name="Cum_Int" localSheetId="28">#REF!</definedName>
    <definedName name="Cum_Int" localSheetId="29">#REF!</definedName>
    <definedName name="Cum_Int" localSheetId="9">#REF!</definedName>
    <definedName name="Cum_Int" localSheetId="15">#REF!</definedName>
    <definedName name="Cum_Int" localSheetId="38">#REF!</definedName>
    <definedName name="Cum_Int">#REF!</definedName>
    <definedName name="d">[3]FCBU!$1:$1048576</definedName>
    <definedName name="Data" localSheetId="22">#REF!</definedName>
    <definedName name="Data" localSheetId="4">#REF!</definedName>
    <definedName name="Data" localSheetId="5">#REF!</definedName>
    <definedName name="Data" localSheetId="23">#REF!</definedName>
    <definedName name="Data" localSheetId="3">#REF!</definedName>
    <definedName name="Data" localSheetId="33">#REF!</definedName>
    <definedName name="Data" localSheetId="37">#REF!</definedName>
    <definedName name="Data" localSheetId="12">#REF!</definedName>
    <definedName name="Data" localSheetId="34">#REF!</definedName>
    <definedName name="Data" localSheetId="13">#REF!</definedName>
    <definedName name="Data" localSheetId="35">#REF!</definedName>
    <definedName name="Data" localSheetId="36">#REF!</definedName>
    <definedName name="Data" localSheetId="14">#REF!</definedName>
    <definedName name="Data" localSheetId="40">#REF!</definedName>
    <definedName name="Data" localSheetId="11">#REF!</definedName>
    <definedName name="Data" localSheetId="30">#REF!</definedName>
    <definedName name="Data" localSheetId="32">#REF!</definedName>
    <definedName name="Data" localSheetId="27">#REF!</definedName>
    <definedName name="Data" localSheetId="28">#REF!</definedName>
    <definedName name="Data" localSheetId="29">#REF!</definedName>
    <definedName name="Data" localSheetId="9">#REF!</definedName>
    <definedName name="Data" localSheetId="15">#REF!</definedName>
    <definedName name="Data" localSheetId="38">#REF!</definedName>
    <definedName name="Data">#REF!</definedName>
    <definedName name="DD" localSheetId="23">#REF!</definedName>
    <definedName name="DD">#REF!</definedName>
    <definedName name="E02.02" localSheetId="22">#REF!</definedName>
    <definedName name="E02.02" localSheetId="4">#REF!</definedName>
    <definedName name="E02.02" localSheetId="5">#REF!</definedName>
    <definedName name="E02.02" localSheetId="23">#REF!</definedName>
    <definedName name="E02.02" localSheetId="3">#REF!</definedName>
    <definedName name="E02.02" localSheetId="33">#REF!</definedName>
    <definedName name="E02.02" localSheetId="37">#REF!</definedName>
    <definedName name="E02.02" localSheetId="12">#REF!</definedName>
    <definedName name="E02.02" localSheetId="34">#REF!</definedName>
    <definedName name="E02.02" localSheetId="13">#REF!</definedName>
    <definedName name="E02.02" localSheetId="35">#REF!</definedName>
    <definedName name="E02.02" localSheetId="36">#REF!</definedName>
    <definedName name="E02.02" localSheetId="14">#REF!</definedName>
    <definedName name="E02.02" localSheetId="40">#REF!</definedName>
    <definedName name="E02.02" localSheetId="11">#REF!</definedName>
    <definedName name="E02.02" localSheetId="30">#REF!</definedName>
    <definedName name="E02.02" localSheetId="32">#REF!</definedName>
    <definedName name="E02.02" localSheetId="27">#REF!</definedName>
    <definedName name="E02.02" localSheetId="28">#REF!</definedName>
    <definedName name="E02.02" localSheetId="29">#REF!</definedName>
    <definedName name="E02.02" localSheetId="9">#REF!</definedName>
    <definedName name="E02.02" localSheetId="15">#REF!</definedName>
    <definedName name="E02.02" localSheetId="38">#REF!</definedName>
    <definedName name="E02.02">#REF!</definedName>
    <definedName name="EC.DUTY_2" localSheetId="22">[1]Accounts!#REF!</definedName>
    <definedName name="EC.DUTY_2" localSheetId="4">[1]Accounts!#REF!</definedName>
    <definedName name="EC.DUTY_2" localSheetId="5">[1]Accounts!#REF!</definedName>
    <definedName name="EC.DUTY_2" localSheetId="23">[1]Accounts!#REF!</definedName>
    <definedName name="EC.DUTY_2" localSheetId="13">[1]Accounts!#REF!</definedName>
    <definedName name="EC.DUTY_2" localSheetId="35">[1]Accounts!#REF!</definedName>
    <definedName name="EC.DUTY_2" localSheetId="36">[1]Accounts!#REF!</definedName>
    <definedName name="EC.DUTY_2" localSheetId="14">[1]Accounts!#REF!</definedName>
    <definedName name="EC.DUTY_2" localSheetId="40">[1]Accounts!#REF!</definedName>
    <definedName name="EC.DUTY_2" localSheetId="11">[1]Accounts!#REF!</definedName>
    <definedName name="EC.DUTY_2" localSheetId="30">[1]Accounts!#REF!</definedName>
    <definedName name="EC.DUTY_2" localSheetId="32">[1]Accounts!#REF!</definedName>
    <definedName name="EC.DUTY_2" localSheetId="27">[1]Accounts!#REF!</definedName>
    <definedName name="EC.DUTY_2" localSheetId="28">[1]Accounts!#REF!</definedName>
    <definedName name="EC.DUTY_2" localSheetId="29">[1]Accounts!#REF!</definedName>
    <definedName name="EC.DUTY_2" localSheetId="9">[1]Accounts!#REF!</definedName>
    <definedName name="EC.DUTY_2" localSheetId="26">[1]Accounts!#REF!</definedName>
    <definedName name="EC.DUTY_2" localSheetId="15">[1]Accounts!#REF!</definedName>
    <definedName name="EC.DUTY_2" localSheetId="38">[1]Accounts!#REF!</definedName>
    <definedName name="EC.DUTY_2">[1]Accounts!#REF!</definedName>
    <definedName name="End_Bal" localSheetId="22">#REF!</definedName>
    <definedName name="End_Bal" localSheetId="4">#REF!</definedName>
    <definedName name="End_Bal" localSheetId="5">#REF!</definedName>
    <definedName name="End_Bal" localSheetId="23">#REF!</definedName>
    <definedName name="End_Bal" localSheetId="3">#REF!</definedName>
    <definedName name="End_Bal" localSheetId="33">#REF!</definedName>
    <definedName name="End_Bal" localSheetId="37">#REF!</definedName>
    <definedName name="End_Bal" localSheetId="12">#REF!</definedName>
    <definedName name="End_Bal" localSheetId="34">#REF!</definedName>
    <definedName name="End_Bal" localSheetId="13">#REF!</definedName>
    <definedName name="End_Bal" localSheetId="35">#REF!</definedName>
    <definedName name="End_Bal" localSheetId="36">#REF!</definedName>
    <definedName name="End_Bal" localSheetId="14">#REF!</definedName>
    <definedName name="End_Bal" localSheetId="40">#REF!</definedName>
    <definedName name="End_Bal" localSheetId="11">#REF!</definedName>
    <definedName name="End_Bal" localSheetId="30">#REF!</definedName>
    <definedName name="End_Bal" localSheetId="32">#REF!</definedName>
    <definedName name="End_Bal" localSheetId="27">#REF!</definedName>
    <definedName name="End_Bal" localSheetId="28">#REF!</definedName>
    <definedName name="End_Bal" localSheetId="29">#REF!</definedName>
    <definedName name="End_Bal" localSheetId="9">#REF!</definedName>
    <definedName name="End_Bal" localSheetId="26">#REF!</definedName>
    <definedName name="End_Bal" localSheetId="15">#REF!</definedName>
    <definedName name="End_Bal" localSheetId="38">#REF!</definedName>
    <definedName name="End_Bal">#REF!</definedName>
    <definedName name="EX._DUTY_1" localSheetId="22">[1]Accounts!#REF!</definedName>
    <definedName name="EX._DUTY_1" localSheetId="4">[1]Accounts!#REF!</definedName>
    <definedName name="EX._DUTY_1" localSheetId="5">[1]Accounts!#REF!</definedName>
    <definedName name="EX._DUTY_1" localSheetId="23">[1]Accounts!#REF!</definedName>
    <definedName name="EX._DUTY_1" localSheetId="13">[1]Accounts!#REF!</definedName>
    <definedName name="EX._DUTY_1" localSheetId="35">[1]Accounts!#REF!</definedName>
    <definedName name="EX._DUTY_1" localSheetId="36">[1]Accounts!#REF!</definedName>
    <definedName name="EX._DUTY_1" localSheetId="14">[1]Accounts!#REF!</definedName>
    <definedName name="EX._DUTY_1" localSheetId="40">[1]Accounts!#REF!</definedName>
    <definedName name="EX._DUTY_1" localSheetId="11">[1]Accounts!#REF!</definedName>
    <definedName name="EX._DUTY_1" localSheetId="30">[1]Accounts!#REF!</definedName>
    <definedName name="EX._DUTY_1" localSheetId="32">[1]Accounts!#REF!</definedName>
    <definedName name="EX._DUTY_1" localSheetId="27">[1]Accounts!#REF!</definedName>
    <definedName name="EX._DUTY_1" localSheetId="28">[1]Accounts!#REF!</definedName>
    <definedName name="EX._DUTY_1" localSheetId="29">[1]Accounts!#REF!</definedName>
    <definedName name="EX._DUTY_1" localSheetId="9">[1]Accounts!#REF!</definedName>
    <definedName name="EX._DUTY_1" localSheetId="26">[1]Accounts!#REF!</definedName>
    <definedName name="EX._DUTY_1" localSheetId="15">[1]Accounts!#REF!</definedName>
    <definedName name="EX._DUTY_1" localSheetId="38">[1]Accounts!#REF!</definedName>
    <definedName name="EX._DUTY_1">[1]Accounts!#REF!</definedName>
    <definedName name="Excel_BuiltIn_Print_Area" localSheetId="23">#REF!</definedName>
    <definedName name="Excel_BuiltIn_Print_Area">#REF!</definedName>
    <definedName name="Excel_BuiltIn_Print_Area_2" localSheetId="23">#REF!</definedName>
    <definedName name="Excel_BuiltIn_Print_Area_2">#REF!</definedName>
    <definedName name="Excel_BuiltIn_Print_Area_24_1_1_1_1" localSheetId="23">'[5]31.2-35'!#REF!</definedName>
    <definedName name="Excel_BuiltIn_Print_Area_24_1_1_1_1">'[5]31.2-35'!#REF!</definedName>
    <definedName name="Excel_BuiltIn_Print_Area_4" localSheetId="23">#REF!</definedName>
    <definedName name="Excel_BuiltIn_Print_Area_4">#REF!</definedName>
    <definedName name="Excel_BuiltIn_Print_Area_5" localSheetId="23">#REF!</definedName>
    <definedName name="Excel_BuiltIn_Print_Area_5">#REF!</definedName>
    <definedName name="Excel_BuiltIn_Print_Area_5_1" localSheetId="23">#REF!</definedName>
    <definedName name="Excel_BuiltIn_Print_Area_5_1">#REF!</definedName>
    <definedName name="Excel_BuiltIn_Print_Area_6">#REF!</definedName>
    <definedName name="Excel_BuiltIn_Print_Area_6_1">#REF!</definedName>
    <definedName name="Excel_BuiltIn_Print_Area_6_1_1">#REF!</definedName>
    <definedName name="Excel_BuiltIn_Print_Area_6_1_1_1">#REF!</definedName>
    <definedName name="Excel_BuiltIn_Print_Titles_10" localSheetId="22">#REF!</definedName>
    <definedName name="Excel_BuiltIn_Print_Titles_10" localSheetId="4">#REF!</definedName>
    <definedName name="Excel_BuiltIn_Print_Titles_10" localSheetId="5">#REF!</definedName>
    <definedName name="Excel_BuiltIn_Print_Titles_10" localSheetId="3">#REF!</definedName>
    <definedName name="Excel_BuiltIn_Print_Titles_10" localSheetId="33">#REF!</definedName>
    <definedName name="Excel_BuiltIn_Print_Titles_10" localSheetId="37">#REF!</definedName>
    <definedName name="Excel_BuiltIn_Print_Titles_10" localSheetId="12">#REF!</definedName>
    <definedName name="Excel_BuiltIn_Print_Titles_10" localSheetId="34">#REF!</definedName>
    <definedName name="Excel_BuiltIn_Print_Titles_10" localSheetId="13">#REF!</definedName>
    <definedName name="Excel_BuiltIn_Print_Titles_10" localSheetId="35">#REF!</definedName>
    <definedName name="Excel_BuiltIn_Print_Titles_10" localSheetId="36">#REF!</definedName>
    <definedName name="Excel_BuiltIn_Print_Titles_10" localSheetId="14">#REF!</definedName>
    <definedName name="Excel_BuiltIn_Print_Titles_10" localSheetId="40">#REF!</definedName>
    <definedName name="Excel_BuiltIn_Print_Titles_10" localSheetId="11">#REF!</definedName>
    <definedName name="Excel_BuiltIn_Print_Titles_10" localSheetId="30">#REF!</definedName>
    <definedName name="Excel_BuiltIn_Print_Titles_10" localSheetId="32">#REF!</definedName>
    <definedName name="Excel_BuiltIn_Print_Titles_10" localSheetId="27">#REF!</definedName>
    <definedName name="Excel_BuiltIn_Print_Titles_10" localSheetId="28">#REF!</definedName>
    <definedName name="Excel_BuiltIn_Print_Titles_10" localSheetId="29">#REF!</definedName>
    <definedName name="Excel_BuiltIn_Print_Titles_10" localSheetId="9">#REF!</definedName>
    <definedName name="Excel_BuiltIn_Print_Titles_10" localSheetId="26">#REF!</definedName>
    <definedName name="Excel_BuiltIn_Print_Titles_10" localSheetId="15">#REF!</definedName>
    <definedName name="Excel_BuiltIn_Print_Titles_10" localSheetId="38">#REF!</definedName>
    <definedName name="Excel_BuiltIn_Print_Titles_10">#REF!</definedName>
    <definedName name="Extra_Pay" localSheetId="22">#REF!</definedName>
    <definedName name="Extra_Pay" localSheetId="4">#REF!</definedName>
    <definedName name="Extra_Pay" localSheetId="5">#REF!</definedName>
    <definedName name="Extra_Pay" localSheetId="3">#REF!</definedName>
    <definedName name="Extra_Pay" localSheetId="33">#REF!</definedName>
    <definedName name="Extra_Pay" localSheetId="37">#REF!</definedName>
    <definedName name="Extra_Pay" localSheetId="12">#REF!</definedName>
    <definedName name="Extra_Pay" localSheetId="34">#REF!</definedName>
    <definedName name="Extra_Pay" localSheetId="13">#REF!</definedName>
    <definedName name="Extra_Pay" localSheetId="35">#REF!</definedName>
    <definedName name="Extra_Pay" localSheetId="36">#REF!</definedName>
    <definedName name="Extra_Pay" localSheetId="14">#REF!</definedName>
    <definedName name="Extra_Pay" localSheetId="40">#REF!</definedName>
    <definedName name="Extra_Pay" localSheetId="11">#REF!</definedName>
    <definedName name="Extra_Pay" localSheetId="30">#REF!</definedName>
    <definedName name="Extra_Pay" localSheetId="32">#REF!</definedName>
    <definedName name="Extra_Pay" localSheetId="27">#REF!</definedName>
    <definedName name="Extra_Pay" localSheetId="28">#REF!</definedName>
    <definedName name="Extra_Pay" localSheetId="29">#REF!</definedName>
    <definedName name="Extra_Pay" localSheetId="9">#REF!</definedName>
    <definedName name="Extra_Pay" localSheetId="15">#REF!</definedName>
    <definedName name="Extra_Pay" localSheetId="38">#REF!</definedName>
    <definedName name="Extra_Pay">#REF!</definedName>
    <definedName name="f" localSheetId="22">[1]Accounts!#REF!</definedName>
    <definedName name="f" localSheetId="4">[1]Accounts!#REF!</definedName>
    <definedName name="f" localSheetId="5">[1]Accounts!#REF!</definedName>
    <definedName name="f" localSheetId="23">[1]Accounts!#REF!</definedName>
    <definedName name="f" localSheetId="36">[1]Accounts!#REF!</definedName>
    <definedName name="f" localSheetId="14">[1]Accounts!#REF!</definedName>
    <definedName name="f" localSheetId="40">[1]Accounts!#REF!</definedName>
    <definedName name="f" localSheetId="11">[1]Accounts!#REF!</definedName>
    <definedName name="f" localSheetId="30">[1]Accounts!#REF!</definedName>
    <definedName name="f" localSheetId="32">[1]Accounts!#REF!</definedName>
    <definedName name="f" localSheetId="27">[1]Accounts!#REF!</definedName>
    <definedName name="f" localSheetId="29">[1]Accounts!#REF!</definedName>
    <definedName name="f" localSheetId="9">[1]Accounts!#REF!</definedName>
    <definedName name="f" localSheetId="15">[1]Accounts!#REF!</definedName>
    <definedName name="f" localSheetId="38">[1]Accounts!#REF!</definedName>
    <definedName name="f">[1]Accounts!#REF!</definedName>
    <definedName name="fff" localSheetId="23">MATCH(0.01,'4 (Ratios) (2)'!End_Bal,-1)+1</definedName>
    <definedName name="fff">MATCH(0.01,End_Bal,-1)+1</definedName>
    <definedName name="Full_Print" localSheetId="22">#REF!</definedName>
    <definedName name="Full_Print" localSheetId="4">#REF!</definedName>
    <definedName name="Full_Print" localSheetId="5">#REF!</definedName>
    <definedName name="Full_Print" localSheetId="23">#REF!</definedName>
    <definedName name="Full_Print" localSheetId="3">#REF!</definedName>
    <definedName name="Full_Print" localSheetId="33">#REF!</definedName>
    <definedName name="Full_Print" localSheetId="37">#REF!</definedName>
    <definedName name="Full_Print" localSheetId="12">#REF!</definedName>
    <definedName name="Full_Print" localSheetId="34">#REF!</definedName>
    <definedName name="Full_Print" localSheetId="13">#REF!</definedName>
    <definedName name="Full_Print" localSheetId="35">#REF!</definedName>
    <definedName name="Full_Print" localSheetId="36">#REF!</definedName>
    <definedName name="Full_Print" localSheetId="14">#REF!</definedName>
    <definedName name="Full_Print" localSheetId="40">#REF!</definedName>
    <definedName name="Full_Print" localSheetId="11">#REF!</definedName>
    <definedName name="Full_Print" localSheetId="30">#REF!</definedName>
    <definedName name="Full_Print" localSheetId="32">#REF!</definedName>
    <definedName name="Full_Print" localSheetId="27">#REF!</definedName>
    <definedName name="Full_Print" localSheetId="28">#REF!</definedName>
    <definedName name="Full_Print" localSheetId="29">#REF!</definedName>
    <definedName name="Full_Print" localSheetId="9">#REF!</definedName>
    <definedName name="Full_Print" localSheetId="26">#REF!</definedName>
    <definedName name="Full_Print" localSheetId="15">#REF!</definedName>
    <definedName name="Full_Print" localSheetId="38">#REF!</definedName>
    <definedName name="Full_Print">#REF!</definedName>
    <definedName name="HA" localSheetId="22">[1]Accounts!#REF!</definedName>
    <definedName name="HA" localSheetId="4">[1]Accounts!#REF!</definedName>
    <definedName name="HA" localSheetId="5">[1]Accounts!#REF!</definedName>
    <definedName name="HA" localSheetId="23">[1]Accounts!#REF!</definedName>
    <definedName name="HA" localSheetId="13">[1]Accounts!#REF!</definedName>
    <definedName name="HA" localSheetId="35">[1]Accounts!#REF!</definedName>
    <definedName name="HA" localSheetId="36">[1]Accounts!#REF!</definedName>
    <definedName name="HA" localSheetId="14">[1]Accounts!#REF!</definedName>
    <definedName name="HA" localSheetId="40">[1]Accounts!#REF!</definedName>
    <definedName name="HA" localSheetId="11">[1]Accounts!#REF!</definedName>
    <definedName name="HA" localSheetId="30">[1]Accounts!#REF!</definedName>
    <definedName name="HA" localSheetId="32">[1]Accounts!#REF!</definedName>
    <definedName name="HA" localSheetId="27">[1]Accounts!#REF!</definedName>
    <definedName name="HA" localSheetId="28">[1]Accounts!#REF!</definedName>
    <definedName name="HA" localSheetId="29">[1]Accounts!#REF!</definedName>
    <definedName name="HA" localSheetId="9">[1]Accounts!#REF!</definedName>
    <definedName name="HA" localSheetId="26">[1]Accounts!#REF!</definedName>
    <definedName name="HA" localSheetId="15">[1]Accounts!#REF!</definedName>
    <definedName name="HA" localSheetId="38">[1]Accounts!#REF!</definedName>
    <definedName name="HA">[1]Accounts!#REF!</definedName>
    <definedName name="HEAD" localSheetId="23">#REF!</definedName>
    <definedName name="HEAD">#REF!</definedName>
    <definedName name="HEAD_28" localSheetId="23">#REF!</definedName>
    <definedName name="HEAD_28">#REF!</definedName>
    <definedName name="HEAD_7">"$CF.$#REF!$#REF!:$#REF!$#REF!"</definedName>
    <definedName name="Header_Row" localSheetId="22">ROW(#REF!)</definedName>
    <definedName name="Header_Row" localSheetId="4">ROW(#REF!)</definedName>
    <definedName name="Header_Row" localSheetId="5">ROW(#REF!)</definedName>
    <definedName name="Header_Row" localSheetId="3">ROW(#REF!)</definedName>
    <definedName name="Header_Row" localSheetId="33">ROW(#REF!)</definedName>
    <definedName name="Header_Row" localSheetId="37">ROW(#REF!)</definedName>
    <definedName name="Header_Row" localSheetId="12">ROW(#REF!)</definedName>
    <definedName name="Header_Row" localSheetId="34">ROW(#REF!)</definedName>
    <definedName name="Header_Row" localSheetId="13">ROW(#REF!)</definedName>
    <definedName name="Header_Row" localSheetId="35">ROW(#REF!)</definedName>
    <definedName name="Header_Row" localSheetId="36">ROW(#REF!)</definedName>
    <definedName name="Header_Row" localSheetId="14">ROW(#REF!)</definedName>
    <definedName name="Header_Row" localSheetId="40">ROW(#REF!)</definedName>
    <definedName name="Header_Row" localSheetId="11">ROW(#REF!)</definedName>
    <definedName name="Header_Row" localSheetId="30">ROW(#REF!)</definedName>
    <definedName name="Header_Row" localSheetId="32">ROW(#REF!)</definedName>
    <definedName name="Header_Row" localSheetId="27">ROW(#REF!)</definedName>
    <definedName name="Header_Row" localSheetId="28">ROW(#REF!)</definedName>
    <definedName name="Header_Row" localSheetId="29">ROW(#REF!)</definedName>
    <definedName name="Header_Row" localSheetId="9">ROW(#REF!)</definedName>
    <definedName name="Header_Row" localSheetId="15">ROW(#REF!)</definedName>
    <definedName name="Header_Row">ROW(#REF!)</definedName>
    <definedName name="HED" localSheetId="23">#REF!</definedName>
    <definedName name="HED">#REF!</definedName>
    <definedName name="HED_28" localSheetId="23">#REF!</definedName>
    <definedName name="HED_28">#REF!</definedName>
    <definedName name="HED_7">"$CF.$#REF!$#REF!:$#REF!$#REF!"</definedName>
    <definedName name="INCOME_TAX_COMP" localSheetId="22">[1]Accounts!#REF!</definedName>
    <definedName name="INCOME_TAX_COMP" localSheetId="4">[1]Accounts!#REF!</definedName>
    <definedName name="INCOME_TAX_COMP" localSheetId="5">[1]Accounts!#REF!</definedName>
    <definedName name="INCOME_TAX_COMP" localSheetId="23">[1]Accounts!#REF!</definedName>
    <definedName name="INCOME_TAX_COMP" localSheetId="13">[1]Accounts!#REF!</definedName>
    <definedName name="INCOME_TAX_COMP" localSheetId="35">[1]Accounts!#REF!</definedName>
    <definedName name="INCOME_TAX_COMP" localSheetId="36">[1]Accounts!#REF!</definedName>
    <definedName name="INCOME_TAX_COMP" localSheetId="14">[1]Accounts!#REF!</definedName>
    <definedName name="INCOME_TAX_COMP" localSheetId="40">[1]Accounts!#REF!</definedName>
    <definedName name="INCOME_TAX_COMP" localSheetId="11">[1]Accounts!#REF!</definedName>
    <definedName name="INCOME_TAX_COMP" localSheetId="30">[1]Accounts!#REF!</definedName>
    <definedName name="INCOME_TAX_COMP" localSheetId="32">[1]Accounts!#REF!</definedName>
    <definedName name="INCOME_TAX_COMP" localSheetId="27">[1]Accounts!#REF!</definedName>
    <definedName name="INCOME_TAX_COMP" localSheetId="28">[1]Accounts!#REF!</definedName>
    <definedName name="INCOME_TAX_COMP" localSheetId="29">[1]Accounts!#REF!</definedName>
    <definedName name="INCOME_TAX_COMP" localSheetId="9">[1]Accounts!#REF!</definedName>
    <definedName name="INCOME_TAX_COMP" localSheetId="26">[1]Accounts!#REF!</definedName>
    <definedName name="INCOME_TAX_COMP" localSheetId="15">[1]Accounts!#REF!</definedName>
    <definedName name="INCOME_TAX_COMP" localSheetId="38">[1]Accounts!#REF!</definedName>
    <definedName name="INCOME_TAX_COMP">[1]Accounts!#REF!</definedName>
    <definedName name="Int" localSheetId="22">#REF!</definedName>
    <definedName name="Int" localSheetId="4">#REF!</definedName>
    <definedName name="Int" localSheetId="5">#REF!</definedName>
    <definedName name="Int" localSheetId="23">#REF!</definedName>
    <definedName name="Int" localSheetId="3">#REF!</definedName>
    <definedName name="Int" localSheetId="33">#REF!</definedName>
    <definedName name="Int" localSheetId="37">#REF!</definedName>
    <definedName name="Int" localSheetId="12">#REF!</definedName>
    <definedName name="Int" localSheetId="34">#REF!</definedName>
    <definedName name="Int" localSheetId="13">#REF!</definedName>
    <definedName name="Int" localSheetId="35">#REF!</definedName>
    <definedName name="Int" localSheetId="36">#REF!</definedName>
    <definedName name="Int" localSheetId="14">#REF!</definedName>
    <definedName name="Int" localSheetId="40">#REF!</definedName>
    <definedName name="Int" localSheetId="11">#REF!</definedName>
    <definedName name="Int" localSheetId="30">#REF!</definedName>
    <definedName name="Int" localSheetId="32">#REF!</definedName>
    <definedName name="Int" localSheetId="27">#REF!</definedName>
    <definedName name="Int" localSheetId="28">#REF!</definedName>
    <definedName name="Int" localSheetId="29">#REF!</definedName>
    <definedName name="Int" localSheetId="9">#REF!</definedName>
    <definedName name="Int" localSheetId="26">#REF!</definedName>
    <definedName name="Int" localSheetId="15">#REF!</definedName>
    <definedName name="Int" localSheetId="38">#REF!</definedName>
    <definedName name="Int">#REF!</definedName>
    <definedName name="INTEREST__PAYAB" localSheetId="23">#REF!</definedName>
    <definedName name="INTEREST__PAYAB">#REF!</definedName>
    <definedName name="INTEREST__PAYAB_28" localSheetId="23">#REF!</definedName>
    <definedName name="INTEREST__PAYAB_28">#REF!</definedName>
    <definedName name="INTEREST__PAYAB_7">"$CF.$#REF!$#REF!"</definedName>
    <definedName name="INTEREST__RECEI" localSheetId="23">#REF!</definedName>
    <definedName name="INTEREST__RECEI">#REF!</definedName>
    <definedName name="INTEREST__RECEI_28" localSheetId="23">#REF!</definedName>
    <definedName name="INTEREST__RECEI_28">#REF!</definedName>
    <definedName name="INTEREST__RECEI_7">"$CF.$#REF!$#REF!"</definedName>
    <definedName name="Interest_Rate" localSheetId="22">#REF!</definedName>
    <definedName name="Interest_Rate" localSheetId="4">#REF!</definedName>
    <definedName name="Interest_Rate" localSheetId="5">#REF!</definedName>
    <definedName name="Interest_Rate" localSheetId="23">#REF!</definedName>
    <definedName name="Interest_Rate" localSheetId="3">#REF!</definedName>
    <definedName name="Interest_Rate" localSheetId="33">#REF!</definedName>
    <definedName name="Interest_Rate" localSheetId="37">#REF!</definedName>
    <definedName name="Interest_Rate" localSheetId="12">#REF!</definedName>
    <definedName name="Interest_Rate" localSheetId="34">#REF!</definedName>
    <definedName name="Interest_Rate" localSheetId="13">#REF!</definedName>
    <definedName name="Interest_Rate" localSheetId="35">#REF!</definedName>
    <definedName name="Interest_Rate" localSheetId="36">#REF!</definedName>
    <definedName name="Interest_Rate" localSheetId="14">#REF!</definedName>
    <definedName name="Interest_Rate" localSheetId="40">#REF!</definedName>
    <definedName name="Interest_Rate" localSheetId="11">#REF!</definedName>
    <definedName name="Interest_Rate" localSheetId="30">#REF!</definedName>
    <definedName name="Interest_Rate" localSheetId="32">#REF!</definedName>
    <definedName name="Interest_Rate" localSheetId="27">#REF!</definedName>
    <definedName name="Interest_Rate" localSheetId="28">#REF!</definedName>
    <definedName name="Interest_Rate" localSheetId="29">#REF!</definedName>
    <definedName name="Interest_Rate" localSheetId="9">#REF!</definedName>
    <definedName name="Interest_Rate" localSheetId="15">#REF!</definedName>
    <definedName name="Interest_Rate" localSheetId="38">#REF!</definedName>
    <definedName name="Interest_Rate">#REF!</definedName>
    <definedName name="Last_Row">#N/A</definedName>
    <definedName name="LI" localSheetId="23">#REF!</definedName>
    <definedName name="LI">#REF!</definedName>
    <definedName name="LI_28" localSheetId="23">#REF!</definedName>
    <definedName name="LI_28">#REF!</definedName>
    <definedName name="LI_7">"$CF.$#REF!$#REF!:$#REF!$#REF!"</definedName>
    <definedName name="ll" localSheetId="22">#REF!</definedName>
    <definedName name="ll" localSheetId="4">#REF!</definedName>
    <definedName name="ll" localSheetId="5">#REF!</definedName>
    <definedName name="ll" localSheetId="23">#REF!</definedName>
    <definedName name="ll" localSheetId="36">#REF!</definedName>
    <definedName name="ll" localSheetId="14">#REF!</definedName>
    <definedName name="ll" localSheetId="40">#REF!</definedName>
    <definedName name="ll" localSheetId="11">#REF!</definedName>
    <definedName name="ll" localSheetId="30">#REF!</definedName>
    <definedName name="ll" localSheetId="32">#REF!</definedName>
    <definedName name="ll" localSheetId="27">#REF!</definedName>
    <definedName name="ll" localSheetId="28">#REF!</definedName>
    <definedName name="ll" localSheetId="29">#REF!</definedName>
    <definedName name="ll" localSheetId="9">#REF!</definedName>
    <definedName name="ll" localSheetId="15">#REF!</definedName>
    <definedName name="ll" localSheetId="38">#REF!</definedName>
    <definedName name="ll">#REF!</definedName>
    <definedName name="lllll" localSheetId="22">#REF!</definedName>
    <definedName name="lllll" localSheetId="4">#REF!</definedName>
    <definedName name="lllll" localSheetId="5">#REF!</definedName>
    <definedName name="lllll" localSheetId="23">#REF!</definedName>
    <definedName name="lllll" localSheetId="36">#REF!</definedName>
    <definedName name="lllll" localSheetId="14">#REF!</definedName>
    <definedName name="lllll" localSheetId="40">#REF!</definedName>
    <definedName name="lllll" localSheetId="11">#REF!</definedName>
    <definedName name="lllll" localSheetId="30">#REF!</definedName>
    <definedName name="lllll" localSheetId="32">#REF!</definedName>
    <definedName name="lllll" localSheetId="27">#REF!</definedName>
    <definedName name="lllll" localSheetId="28">#REF!</definedName>
    <definedName name="lllll" localSheetId="29">#REF!</definedName>
    <definedName name="lllll" localSheetId="9">#REF!</definedName>
    <definedName name="lllll" localSheetId="15">#REF!</definedName>
    <definedName name="lllll" localSheetId="38">#REF!</definedName>
    <definedName name="lllll">#REF!</definedName>
    <definedName name="Loan_Amount" localSheetId="22">#REF!</definedName>
    <definedName name="Loan_Amount" localSheetId="4">#REF!</definedName>
    <definedName name="Loan_Amount" localSheetId="5">#REF!</definedName>
    <definedName name="Loan_Amount" localSheetId="23">#REF!</definedName>
    <definedName name="Loan_Amount" localSheetId="3">#REF!</definedName>
    <definedName name="Loan_Amount" localSheetId="33">#REF!</definedName>
    <definedName name="Loan_Amount" localSheetId="37">#REF!</definedName>
    <definedName name="Loan_Amount" localSheetId="12">#REF!</definedName>
    <definedName name="Loan_Amount" localSheetId="34">#REF!</definedName>
    <definedName name="Loan_Amount" localSheetId="13">#REF!</definedName>
    <definedName name="Loan_Amount" localSheetId="35">#REF!</definedName>
    <definedName name="Loan_Amount" localSheetId="36">#REF!</definedName>
    <definedName name="Loan_Amount" localSheetId="14">#REF!</definedName>
    <definedName name="Loan_Amount" localSheetId="40">#REF!</definedName>
    <definedName name="Loan_Amount" localSheetId="11">#REF!</definedName>
    <definedName name="Loan_Amount" localSheetId="30">#REF!</definedName>
    <definedName name="Loan_Amount" localSheetId="32">#REF!</definedName>
    <definedName name="Loan_Amount" localSheetId="27">#REF!</definedName>
    <definedName name="Loan_Amount" localSheetId="28">#REF!</definedName>
    <definedName name="Loan_Amount" localSheetId="29">#REF!</definedName>
    <definedName name="Loan_Amount" localSheetId="9">#REF!</definedName>
    <definedName name="Loan_Amount" localSheetId="26">#REF!</definedName>
    <definedName name="Loan_Amount" localSheetId="15">#REF!</definedName>
    <definedName name="Loan_Amount" localSheetId="38">#REF!</definedName>
    <definedName name="Loan_Amount">#REF!</definedName>
    <definedName name="Loan_Start" localSheetId="22">#REF!</definedName>
    <definedName name="Loan_Start" localSheetId="4">#REF!</definedName>
    <definedName name="Loan_Start" localSheetId="5">#REF!</definedName>
    <definedName name="Loan_Start" localSheetId="3">#REF!</definedName>
    <definedName name="Loan_Start" localSheetId="33">#REF!</definedName>
    <definedName name="Loan_Start" localSheetId="37">#REF!</definedName>
    <definedName name="Loan_Start" localSheetId="12">#REF!</definedName>
    <definedName name="Loan_Start" localSheetId="34">#REF!</definedName>
    <definedName name="Loan_Start" localSheetId="13">#REF!</definedName>
    <definedName name="Loan_Start" localSheetId="35">#REF!</definedName>
    <definedName name="Loan_Start" localSheetId="36">#REF!</definedName>
    <definedName name="Loan_Start" localSheetId="14">#REF!</definedName>
    <definedName name="Loan_Start" localSheetId="40">#REF!</definedName>
    <definedName name="Loan_Start" localSheetId="11">#REF!</definedName>
    <definedName name="Loan_Start" localSheetId="30">#REF!</definedName>
    <definedName name="Loan_Start" localSheetId="32">#REF!</definedName>
    <definedName name="Loan_Start" localSheetId="27">#REF!</definedName>
    <definedName name="Loan_Start" localSheetId="28">#REF!</definedName>
    <definedName name="Loan_Start" localSheetId="29">#REF!</definedName>
    <definedName name="Loan_Start" localSheetId="9">#REF!</definedName>
    <definedName name="Loan_Start" localSheetId="15">#REF!</definedName>
    <definedName name="Loan_Start" localSheetId="38">#REF!</definedName>
    <definedName name="Loan_Start">#REF!</definedName>
    <definedName name="Loan_Years" localSheetId="22">#REF!</definedName>
    <definedName name="Loan_Years" localSheetId="4">#REF!</definedName>
    <definedName name="Loan_Years" localSheetId="5">#REF!</definedName>
    <definedName name="Loan_Years" localSheetId="3">#REF!</definedName>
    <definedName name="Loan_Years" localSheetId="33">#REF!</definedName>
    <definedName name="Loan_Years" localSheetId="37">#REF!</definedName>
    <definedName name="Loan_Years" localSheetId="12">#REF!</definedName>
    <definedName name="Loan_Years" localSheetId="34">#REF!</definedName>
    <definedName name="Loan_Years" localSheetId="13">#REF!</definedName>
    <definedName name="Loan_Years" localSheetId="35">#REF!</definedName>
    <definedName name="Loan_Years" localSheetId="36">#REF!</definedName>
    <definedName name="Loan_Years" localSheetId="14">#REF!</definedName>
    <definedName name="Loan_Years" localSheetId="40">#REF!</definedName>
    <definedName name="Loan_Years" localSheetId="11">#REF!</definedName>
    <definedName name="Loan_Years" localSheetId="30">#REF!</definedName>
    <definedName name="Loan_Years" localSheetId="32">#REF!</definedName>
    <definedName name="Loan_Years" localSheetId="27">#REF!</definedName>
    <definedName name="Loan_Years" localSheetId="28">#REF!</definedName>
    <definedName name="Loan_Years" localSheetId="29">#REF!</definedName>
    <definedName name="Loan_Years" localSheetId="9">#REF!</definedName>
    <definedName name="Loan_Years" localSheetId="15">#REF!</definedName>
    <definedName name="Loan_Years" localSheetId="38">#REF!</definedName>
    <definedName name="Loan_Years">#REF!</definedName>
    <definedName name="New" localSheetId="22">#REF!</definedName>
    <definedName name="New" localSheetId="4">#REF!</definedName>
    <definedName name="New" localSheetId="5">#REF!</definedName>
    <definedName name="New" localSheetId="36">#REF!</definedName>
    <definedName name="New" localSheetId="14">#REF!</definedName>
    <definedName name="New" localSheetId="40">#REF!</definedName>
    <definedName name="New" localSheetId="11">#REF!</definedName>
    <definedName name="New" localSheetId="30">#REF!</definedName>
    <definedName name="New" localSheetId="32">#REF!</definedName>
    <definedName name="New" localSheetId="27">#REF!</definedName>
    <definedName name="New" localSheetId="28">#REF!</definedName>
    <definedName name="New" localSheetId="29">#REF!</definedName>
    <definedName name="New" localSheetId="9">#REF!</definedName>
    <definedName name="New" localSheetId="15">#REF!</definedName>
    <definedName name="New" localSheetId="38">#REF!</definedName>
    <definedName name="New">#REF!</definedName>
    <definedName name="nn">#REF!</definedName>
    <definedName name="Num_Pmt_Per_Year" localSheetId="22">#REF!</definedName>
    <definedName name="Num_Pmt_Per_Year" localSheetId="4">#REF!</definedName>
    <definedName name="Num_Pmt_Per_Year" localSheetId="5">#REF!</definedName>
    <definedName name="Num_Pmt_Per_Year" localSheetId="3">#REF!</definedName>
    <definedName name="Num_Pmt_Per_Year" localSheetId="33">#REF!</definedName>
    <definedName name="Num_Pmt_Per_Year" localSheetId="37">#REF!</definedName>
    <definedName name="Num_Pmt_Per_Year" localSheetId="12">#REF!</definedName>
    <definedName name="Num_Pmt_Per_Year" localSheetId="34">#REF!</definedName>
    <definedName name="Num_Pmt_Per_Year" localSheetId="13">#REF!</definedName>
    <definedName name="Num_Pmt_Per_Year" localSheetId="35">#REF!</definedName>
    <definedName name="Num_Pmt_Per_Year" localSheetId="36">#REF!</definedName>
    <definedName name="Num_Pmt_Per_Year" localSheetId="14">#REF!</definedName>
    <definedName name="Num_Pmt_Per_Year" localSheetId="40">#REF!</definedName>
    <definedName name="Num_Pmt_Per_Year" localSheetId="11">#REF!</definedName>
    <definedName name="Num_Pmt_Per_Year" localSheetId="30">#REF!</definedName>
    <definedName name="Num_Pmt_Per_Year" localSheetId="32">#REF!</definedName>
    <definedName name="Num_Pmt_Per_Year" localSheetId="27">#REF!</definedName>
    <definedName name="Num_Pmt_Per_Year" localSheetId="28">#REF!</definedName>
    <definedName name="Num_Pmt_Per_Year" localSheetId="29">#REF!</definedName>
    <definedName name="Num_Pmt_Per_Year" localSheetId="9">#REF!</definedName>
    <definedName name="Num_Pmt_Per_Year" localSheetId="15">#REF!</definedName>
    <definedName name="Num_Pmt_Per_Year" localSheetId="38">#REF!</definedName>
    <definedName name="Num_Pmt_Per_Year">#REF!</definedName>
    <definedName name="Number_of_Payments" localSheetId="22">MATCH(0.01,'1 (BS)'!End_Bal,-1)+1</definedName>
    <definedName name="Number_of_Payments" localSheetId="4">MATCH(0.01,'2 (IS)'!End_Bal,-1)+1</definedName>
    <definedName name="Number_of_Payments" localSheetId="5">MATCH(0.01,'3 (OCI)'!End_Bal,-1)+1</definedName>
    <definedName name="Number_of_Payments" localSheetId="23">MATCH(0.01,'4 (Ratios) (2)'!End_Bal,-1)+1</definedName>
    <definedName name="Number_of_Payments" localSheetId="3">MATCH(0.01,BS!End_Bal,-1)+1</definedName>
    <definedName name="Number_of_Payments" localSheetId="33">MATCH(0.01,'BS (3)'!End_Bal,-1)+1</definedName>
    <definedName name="Number_of_Payments" localSheetId="37">MATCH(0.01,'BS (4)'!End_Bal,-1)+1</definedName>
    <definedName name="Number_of_Payments" localSheetId="12">MATCH(0.01,CE_Company!End_Bal,-1)+1</definedName>
    <definedName name="Number_of_Payments" localSheetId="34">MATCH(0.01,'CE_Company (2)'!End_Bal,-1)+1</definedName>
    <definedName name="Number_of_Payments" localSheetId="13">MATCH(0.01,CE_Group!End_Bal,-1)+1</definedName>
    <definedName name="Number_of_Payments" localSheetId="35">MATCH(0.01,'CE_Group 1 (2)'!End_Bal,-1)+1</definedName>
    <definedName name="Number_of_Payments" localSheetId="36">MATCH(0.01,'CF (3)'!End_Bal,-1)+1</definedName>
    <definedName name="Number_of_Payments" localSheetId="14">MATCH(0.01,'CF final'!End_Bal,-1)+1</definedName>
    <definedName name="Number_of_Payments" localSheetId="40">MATCH(0.01,'CF Working - 2013'!End_Bal,-1)+1</definedName>
    <definedName name="Number_of_Payments" localSheetId="10">MATCH(0.01,End_Bal,-1)+1</definedName>
    <definedName name="Number_of_Payments" localSheetId="11">MATCH(0.01,'Compreh. In Gr'!End_Bal,-1)+1</definedName>
    <definedName name="Number_of_Payments" localSheetId="30">MATCH(0.01,'Compreh. Income (C &amp; G)'!End_Bal,-1)+1</definedName>
    <definedName name="Number_of_Payments" localSheetId="31">MATCH(0.01,End_Bal,-1)+1</definedName>
    <definedName name="Number_of_Payments" localSheetId="32">MATCH(0.01,'Compreh. Income (G)'!End_Bal,-1)+1</definedName>
    <definedName name="Number_of_Payments" localSheetId="27">MATCH(0.01,'P &amp; L (C &amp; G)'!End_Bal,-1)+1</definedName>
    <definedName name="Number_of_Payments" localSheetId="28">MATCH(0.01,'P &amp; L (company)'!End_Bal,-1)+1</definedName>
    <definedName name="Number_of_Payments" localSheetId="29">MATCH(0.01,'P &amp; L (group)'!End_Bal,-1)+1</definedName>
    <definedName name="Number_of_Payments" localSheetId="9">MATCH(0.01,'P &amp; L group'!End_Bal,-1)+1</definedName>
    <definedName name="Number_of_Payments" localSheetId="26">MATCH(0.01,'Ratio cal'!End_Bal,-1)+1</definedName>
    <definedName name="Number_of_Payments" localSheetId="15">MATCH(0.01,Segment!End_Bal,-1)+1</definedName>
    <definedName name="Number_of_Payments" localSheetId="38">MATCH(0.01,'Segment final'!End_Bal,-1)+1</definedName>
    <definedName name="Number_of_Payments">MATCH(0.01,End_Bal,-1)+1</definedName>
    <definedName name="OLE_LINK1" localSheetId="22">'1 (BS)'!#REF!</definedName>
    <definedName name="OLE_LINK1" localSheetId="4">'2 (IS)'!#REF!</definedName>
    <definedName name="OLE_LINK1" localSheetId="5">'3 (OCI)'!#REF!</definedName>
    <definedName name="OLE_LINK1" localSheetId="3">BS!$B$1</definedName>
    <definedName name="OLE_LINK1" localSheetId="33">'BS (3)'!$A$2</definedName>
    <definedName name="OLE_LINK1" localSheetId="37">'BS (4)'!$A$1</definedName>
    <definedName name="OLE_LINK1" localSheetId="12">CE_Company!$C$3</definedName>
    <definedName name="OLE_LINK1" localSheetId="34">'CE_Company (2)'!$A$2</definedName>
    <definedName name="OLE_LINK1" localSheetId="13">CE_Group!$C$6</definedName>
    <definedName name="OLE_LINK1" localSheetId="35">'CE_Group 1 (2)'!$A$2</definedName>
    <definedName name="OLE_LINK1" localSheetId="36">'CF (3)'!#REF!</definedName>
    <definedName name="OLE_LINK1" localSheetId="14">'CF final'!#REF!</definedName>
    <definedName name="OLE_LINK1" localSheetId="10">'Compreh. In Co'!$C$1</definedName>
    <definedName name="OLE_LINK1" localSheetId="11">'Compreh. In Gr'!$C$1</definedName>
    <definedName name="OLE_LINK1" localSheetId="30">'Compreh. Income (C &amp; G)'!$A$1</definedName>
    <definedName name="OLE_LINK1" localSheetId="31">'Compreh. Income (C)'!$A$1</definedName>
    <definedName name="OLE_LINK1" localSheetId="32">'Compreh. Income (G)'!$A$1</definedName>
    <definedName name="OLE_LINK1" localSheetId="27">'P &amp; L (C &amp; G)'!$A$1</definedName>
    <definedName name="OLE_LINK1" localSheetId="28">'P &amp; L (company)'!$A$1</definedName>
    <definedName name="OLE_LINK1" localSheetId="29">'P &amp; L (group)'!$A$1</definedName>
    <definedName name="OLE_LINK1" localSheetId="8">'P &amp; L company'!$C$2</definedName>
    <definedName name="OLE_LINK1" localSheetId="9">'P &amp; L group'!$C$1</definedName>
    <definedName name="Pay_Date" localSheetId="22">#REF!</definedName>
    <definedName name="Pay_Date" localSheetId="4">#REF!</definedName>
    <definedName name="Pay_Date" localSheetId="5">#REF!</definedName>
    <definedName name="Pay_Date" localSheetId="23">#REF!</definedName>
    <definedName name="Pay_Date" localSheetId="3">#REF!</definedName>
    <definedName name="Pay_Date" localSheetId="33">#REF!</definedName>
    <definedName name="Pay_Date" localSheetId="37">#REF!</definedName>
    <definedName name="Pay_Date" localSheetId="12">#REF!</definedName>
    <definedName name="Pay_Date" localSheetId="34">#REF!</definedName>
    <definedName name="Pay_Date" localSheetId="13">#REF!</definedName>
    <definedName name="Pay_Date" localSheetId="35">#REF!</definedName>
    <definedName name="Pay_Date" localSheetId="36">#REF!</definedName>
    <definedName name="Pay_Date" localSheetId="14">#REF!</definedName>
    <definedName name="Pay_Date" localSheetId="40">#REF!</definedName>
    <definedName name="Pay_Date" localSheetId="11">#REF!</definedName>
    <definedName name="Pay_Date" localSheetId="30">#REF!</definedName>
    <definedName name="Pay_Date" localSheetId="32">#REF!</definedName>
    <definedName name="Pay_Date" localSheetId="27">#REF!</definedName>
    <definedName name="Pay_Date" localSheetId="28">#REF!</definedName>
    <definedName name="Pay_Date" localSheetId="29">#REF!</definedName>
    <definedName name="Pay_Date" localSheetId="9">#REF!</definedName>
    <definedName name="Pay_Date" localSheetId="15">#REF!</definedName>
    <definedName name="Pay_Date" localSheetId="38">#REF!</definedName>
    <definedName name="Pay_Date">#REF!</definedName>
    <definedName name="Pay_Num" localSheetId="22">#REF!</definedName>
    <definedName name="Pay_Num" localSheetId="4">#REF!</definedName>
    <definedName name="Pay_Num" localSheetId="5">#REF!</definedName>
    <definedName name="Pay_Num" localSheetId="23">#REF!</definedName>
    <definedName name="Pay_Num" localSheetId="3">#REF!</definedName>
    <definedName name="Pay_Num" localSheetId="33">#REF!</definedName>
    <definedName name="Pay_Num" localSheetId="37">#REF!</definedName>
    <definedName name="Pay_Num" localSheetId="12">#REF!</definedName>
    <definedName name="Pay_Num" localSheetId="34">#REF!</definedName>
    <definedName name="Pay_Num" localSheetId="13">#REF!</definedName>
    <definedName name="Pay_Num" localSheetId="35">#REF!</definedName>
    <definedName name="Pay_Num" localSheetId="36">#REF!</definedName>
    <definedName name="Pay_Num" localSheetId="14">#REF!</definedName>
    <definedName name="Pay_Num" localSheetId="40">#REF!</definedName>
    <definedName name="Pay_Num" localSheetId="11">#REF!</definedName>
    <definedName name="Pay_Num" localSheetId="30">#REF!</definedName>
    <definedName name="Pay_Num" localSheetId="32">#REF!</definedName>
    <definedName name="Pay_Num" localSheetId="27">#REF!</definedName>
    <definedName name="Pay_Num" localSheetId="28">#REF!</definedName>
    <definedName name="Pay_Num" localSheetId="29">#REF!</definedName>
    <definedName name="Pay_Num" localSheetId="9">#REF!</definedName>
    <definedName name="Pay_Num" localSheetId="15">#REF!</definedName>
    <definedName name="Pay_Num" localSheetId="38">#REF!</definedName>
    <definedName name="Pay_Num">#REF!</definedName>
    <definedName name="Payment_Date" localSheetId="22">DATE(YEAR('1 (BS)'!Loan_Start),MONTH('1 (BS)'!Loan_Start)+Payment_Number,DAY('1 (BS)'!Loan_Start))</definedName>
    <definedName name="Payment_Date" localSheetId="4">DATE(YEAR('2 (IS)'!Loan_Start),MONTH('2 (IS)'!Loan_Start)+Payment_Number,DAY('2 (IS)'!Loan_Start))</definedName>
    <definedName name="Payment_Date" localSheetId="5">DATE(YEAR('3 (OCI)'!Loan_Start),MONTH('3 (OCI)'!Loan_Start)+Payment_Number,DAY('3 (OCI)'!Loan_Start))</definedName>
    <definedName name="Payment_Date" localSheetId="23">DATE(YEAR(Loan_Start),MONTH(Loan_Start)+Payment_Number,DAY(Loan_Start))</definedName>
    <definedName name="Payment_Date" localSheetId="3">DATE(YEAR(BS!Loan_Start),MONTH(BS!Loan_Start)+Payment_Number,DAY(BS!Loan_Start))</definedName>
    <definedName name="Payment_Date" localSheetId="33">DATE(YEAR('BS (3)'!Loan_Start),MONTH('BS (3)'!Loan_Start)+Payment_Number,DAY('BS (3)'!Loan_Start))</definedName>
    <definedName name="Payment_Date" localSheetId="37">DATE(YEAR('BS (4)'!Loan_Start),MONTH('BS (4)'!Loan_Start)+Payment_Number,DAY('BS (4)'!Loan_Start))</definedName>
    <definedName name="Payment_Date" localSheetId="12">DATE(YEAR(CE_Company!Loan_Start),MONTH(CE_Company!Loan_Start)+Payment_Number,DAY(CE_Company!Loan_Start))</definedName>
    <definedName name="Payment_Date" localSheetId="34">DATE(YEAR('CE_Company (2)'!Loan_Start),MONTH('CE_Company (2)'!Loan_Start)+Payment_Number,DAY('CE_Company (2)'!Loan_Start))</definedName>
    <definedName name="Payment_Date" localSheetId="13">DATE(YEAR(CE_Group!Loan_Start),MONTH(CE_Group!Loan_Start)+Payment_Number,DAY(CE_Group!Loan_Start))</definedName>
    <definedName name="Payment_Date" localSheetId="35">DATE(YEAR('CE_Group 1 (2)'!Loan_Start),MONTH('CE_Group 1 (2)'!Loan_Start)+Payment_Number,DAY('CE_Group 1 (2)'!Loan_Start))</definedName>
    <definedName name="Payment_Date" localSheetId="36">DATE(YEAR('CF (3)'!Loan_Start),MONTH('CF (3)'!Loan_Start)+Payment_Number,DAY('CF (3)'!Loan_Start))</definedName>
    <definedName name="Payment_Date" localSheetId="14">DATE(YEAR('CF final'!Loan_Start),MONTH('CF final'!Loan_Start)+Payment_Number,DAY('CF final'!Loan_Start))</definedName>
    <definedName name="Payment_Date" localSheetId="40">DATE(YEAR('CF Working - 2013'!Loan_Start),MONTH('CF Working - 2013'!Loan_Start)+Payment_Number,DAY('CF Working - 2013'!Loan_Start))</definedName>
    <definedName name="Payment_Date" localSheetId="10">DATE(YEAR(Loan_Start),MONTH(Loan_Start)+Payment_Number,DAY(Loan_Start))</definedName>
    <definedName name="Payment_Date" localSheetId="11">DATE(YEAR('Compreh. In Gr'!Loan_Start),MONTH('Compreh. In Gr'!Loan_Start)+Payment_Number,DAY('Compreh. In Gr'!Loan_Start))</definedName>
    <definedName name="Payment_Date" localSheetId="30">DATE(YEAR('Compreh. Income (C &amp; G)'!Loan_Start),MONTH('Compreh. Income (C &amp; G)'!Loan_Start)+Payment_Number,DAY('Compreh. Income (C &amp; G)'!Loan_Start))</definedName>
    <definedName name="Payment_Date" localSheetId="31">DATE(YEAR(Loan_Start),MONTH(Loan_Start)+Payment_Number,DAY(Loan_Start))</definedName>
    <definedName name="Payment_Date" localSheetId="32">DATE(YEAR('Compreh. Income (G)'!Loan_Start),MONTH('Compreh. Income (G)'!Loan_Start)+Payment_Number,DAY('Compreh. Income (G)'!Loan_Start))</definedName>
    <definedName name="Payment_Date" localSheetId="27">DATE(YEAR('P &amp; L (C &amp; G)'!Loan_Start),MONTH('P &amp; L (C &amp; G)'!Loan_Start)+Payment_Number,DAY('P &amp; L (C &amp; G)'!Loan_Start))</definedName>
    <definedName name="Payment_Date" localSheetId="28">DATE(YEAR('P &amp; L (company)'!Loan_Start),MONTH('P &amp; L (company)'!Loan_Start)+Payment_Number,DAY('P &amp; L (company)'!Loan_Start))</definedName>
    <definedName name="Payment_Date" localSheetId="29">DATE(YEAR('P &amp; L (group)'!Loan_Start),MONTH('P &amp; L (group)'!Loan_Start)+Payment_Number,DAY('P &amp; L (group)'!Loan_Start))</definedName>
    <definedName name="Payment_Date" localSheetId="9">DATE(YEAR('P &amp; L group'!Loan_Start),MONTH('P &amp; L group'!Loan_Start)+Payment_Number,DAY('P &amp; L group'!Loan_Start))</definedName>
    <definedName name="Payment_Date" localSheetId="26">DATE(YEAR(Loan_Start),MONTH(Loan_Start)+Payment_Number,DAY(Loan_Start))</definedName>
    <definedName name="Payment_Date" localSheetId="15">DATE(YEAR(Segment!Loan_Start),MONTH(Segment!Loan_Start)+Payment_Number,DAY(Segment!Loan_Start))</definedName>
    <definedName name="Payment_Date" localSheetId="38">DATE(YEAR('Segment final'!Loan_Start),MONTH('Segment final'!Loan_Start)+Payment_Number,DAY('Segment final'!Loan_Start))</definedName>
    <definedName name="Payment_Date">DATE(YEAR(Loan_Start),MONTH(Loan_Start)+Payment_Number,DAY(Loan_Start))</definedName>
    <definedName name="Princ" localSheetId="22">#REF!</definedName>
    <definedName name="Princ" localSheetId="4">#REF!</definedName>
    <definedName name="Princ" localSheetId="5">#REF!</definedName>
    <definedName name="Princ" localSheetId="23">#REF!</definedName>
    <definedName name="Princ" localSheetId="3">#REF!</definedName>
    <definedName name="Princ" localSheetId="33">#REF!</definedName>
    <definedName name="Princ" localSheetId="37">#REF!</definedName>
    <definedName name="Princ" localSheetId="12">#REF!</definedName>
    <definedName name="Princ" localSheetId="34">#REF!</definedName>
    <definedName name="Princ" localSheetId="13">#REF!</definedName>
    <definedName name="Princ" localSheetId="35">#REF!</definedName>
    <definedName name="Princ" localSheetId="36">#REF!</definedName>
    <definedName name="Princ" localSheetId="14">#REF!</definedName>
    <definedName name="Princ" localSheetId="40">#REF!</definedName>
    <definedName name="Princ" localSheetId="11">#REF!</definedName>
    <definedName name="Princ" localSheetId="30">#REF!</definedName>
    <definedName name="Princ" localSheetId="32">#REF!</definedName>
    <definedName name="Princ" localSheetId="27">#REF!</definedName>
    <definedName name="Princ" localSheetId="28">#REF!</definedName>
    <definedName name="Princ" localSheetId="29">#REF!</definedName>
    <definedName name="Princ" localSheetId="9">#REF!</definedName>
    <definedName name="Princ" localSheetId="15">#REF!</definedName>
    <definedName name="Princ" localSheetId="38">#REF!</definedName>
    <definedName name="Princ">#REF!</definedName>
    <definedName name="_xlnm.Print_Area" localSheetId="22">'1 (BS)'!$B$2:$T$81</definedName>
    <definedName name="_xlnm.Print_Area" localSheetId="4">'2 (IS)'!$B$2:$P$53</definedName>
    <definedName name="_xlnm.Print_Area" localSheetId="5">'3 (OCI)'!$B$1:$P$32</definedName>
    <definedName name="_xlnm.Print_Area" localSheetId="25">'4 (Ratios)'!$A$1:$E$44</definedName>
    <definedName name="_xlnm.Print_Area" localSheetId="23">'4 (Ratios) (2)'!$A$1:$G$40</definedName>
    <definedName name="_xlnm.Print_Area" localSheetId="3">BS!$B$1:$P$66</definedName>
    <definedName name="_xlnm.Print_Area" localSheetId="33">'BS (3)'!$A$2:$R$72</definedName>
    <definedName name="_xlnm.Print_Area" localSheetId="37">'BS (4)'!$A$3:$U$43</definedName>
    <definedName name="_xlnm.Print_Area" localSheetId="12">CE_Company!$B$2:$U$56</definedName>
    <definedName name="_xlnm.Print_Area" localSheetId="34">'CE_Company (2)'!$A$1:$R$51</definedName>
    <definedName name="_xlnm.Print_Area" localSheetId="13">CE_Group!$B$2:$X$58</definedName>
    <definedName name="_xlnm.Print_Area" localSheetId="35">'CE_Group 1 (2)'!$A$1:$X$48</definedName>
    <definedName name="_xlnm.Print_Area" localSheetId="36">'CF (3)'!$A$2:$I$41</definedName>
    <definedName name="_xlnm.Print_Area" localSheetId="14">'CF final'!$B$2:$L$46</definedName>
    <definedName name="_xlnm.Print_Area" localSheetId="40">'CF Working - 2013'!$A$1:$L$107</definedName>
    <definedName name="_xlnm.Print_Area" localSheetId="39">'CF Working - 2014'!$A$1:$L$107</definedName>
    <definedName name="_xlnm.Print_Area" localSheetId="10">'Compreh. In Co'!$B$1:$P$24</definedName>
    <definedName name="_xlnm.Print_Area" localSheetId="11">'Compreh. In Gr'!$B$1:$P$22</definedName>
    <definedName name="_xlnm.Print_Area" localSheetId="30">'Compreh. Income (C &amp; G)'!$A$1:$L$19</definedName>
    <definedName name="_xlnm.Print_Area" localSheetId="31">'Compreh. Income (C)'!$A$1:$L$19</definedName>
    <definedName name="_xlnm.Print_Area" localSheetId="32">'Compreh. Income (G)'!$A$1:$L$19</definedName>
    <definedName name="_xlnm.Print_Area" localSheetId="2">Contents!$A$1:$H$51</definedName>
    <definedName name="_xlnm.Print_Area" localSheetId="41">'Contingencies &amp; comm'!$A$1:$M$26</definedName>
    <definedName name="_xlnm.Print_Area" localSheetId="20">'Cop Infor'!$A$1:$E$70</definedName>
    <definedName name="_xlnm.Print_Area" localSheetId="0">Cover!$B$2:$L$56</definedName>
    <definedName name="_xlnm.Print_Area" localSheetId="19">Debenture!$A$1:$F$57</definedName>
    <definedName name="_xlnm.Print_Area" localSheetId="6">'Debenture (2)'!$A$1:$F$71</definedName>
    <definedName name="_xlnm.Print_Area" localSheetId="18">Notes!$A$1:$G$32</definedName>
    <definedName name="_xlnm.Print_Area" localSheetId="27">'P &amp; L (C &amp; G)'!$A$1:$M$42</definedName>
    <definedName name="_xlnm.Print_Area" localSheetId="28">'P &amp; L (company)'!$A$1:$M$34</definedName>
    <definedName name="_xlnm.Print_Area" localSheetId="29">'P &amp; L (group)'!$A$1:$M$35</definedName>
    <definedName name="_xlnm.Print_Area" localSheetId="8">'P &amp; L company'!$B$2:$P$38</definedName>
    <definedName name="_xlnm.Print_Area" localSheetId="9">'P &amp; L group'!$B$1:$P$45</definedName>
    <definedName name="_xlnm.Print_Area" localSheetId="26">'Ratio cal'!$A$352:$T$454</definedName>
    <definedName name="_xlnm.Print_Area" localSheetId="15">Segment!$B$1:$X$36</definedName>
    <definedName name="_xlnm.Print_Area" localSheetId="38">'Segment final'!$A$1:$U$32</definedName>
    <definedName name="_xlnm.Print_Area" localSheetId="17">Shareholders!$B$1:$G$43</definedName>
    <definedName name="_xlnm.Print_Area" localSheetId="24">'Shareholders (2)'!$B$1:$G$60</definedName>
    <definedName name="_xlnm.Print_Area" localSheetId="16">Shares!$B$1:$L$40</definedName>
    <definedName name="_xlnm.Print_Area" localSheetId="7">'Shares (2)'!$B$1:$L$30</definedName>
    <definedName name="_xlnm.Print_Area">#REF!</definedName>
    <definedName name="Print_Area_Reset" localSheetId="22">OFFSET('1 (BS)'!Full_Print,0,0,[0]!Last_Row)</definedName>
    <definedName name="Print_Area_Reset" localSheetId="4">OFFSET('2 (IS)'!Full_Print,0,0,[0]!Last_Row)</definedName>
    <definedName name="Print_Area_Reset" localSheetId="5">OFFSET('3 (OCI)'!Full_Print,0,0,[0]!Last_Row)</definedName>
    <definedName name="Print_Area_Reset" localSheetId="23">OFFSET('4 (Ratios) (2)'!Full_Print,0,0,Last_Row)</definedName>
    <definedName name="Print_Area_Reset" localSheetId="3">OFFSET(BS!Full_Print,0,0,Last_Row)</definedName>
    <definedName name="Print_Area_Reset" localSheetId="33">OFFSET('BS (3)'!Full_Print,0,0,[0]!Last_Row)</definedName>
    <definedName name="Print_Area_Reset" localSheetId="37">OFFSET('BS (4)'!Full_Print,0,0,[0]!Last_Row)</definedName>
    <definedName name="Print_Area_Reset" localSheetId="12">OFFSET(CE_Company!Full_Print,0,0,Last_Row)</definedName>
    <definedName name="Print_Area_Reset" localSheetId="34">OFFSET('CE_Company (2)'!Full_Print,0,0,[0]!Last_Row)</definedName>
    <definedName name="Print_Area_Reset" localSheetId="13">OFFSET(CE_Group!Full_Print,0,0,[0]!Last_Row)</definedName>
    <definedName name="Print_Area_Reset" localSheetId="35">OFFSET('CE_Group 1 (2)'!Full_Print,0,0,[0]!Last_Row)</definedName>
    <definedName name="Print_Area_Reset" localSheetId="36">OFFSET('CF (3)'!Full_Print,0,0,[0]!Last_Row)</definedName>
    <definedName name="Print_Area_Reset" localSheetId="14">OFFSET('CF final'!Full_Print,0,0,[0]!Last_Row)</definedName>
    <definedName name="Print_Area_Reset" localSheetId="40">OFFSET('CF Working - 2013'!Full_Print,0,0,[0]!Last_Row)</definedName>
    <definedName name="Print_Area_Reset" localSheetId="10">OFFSET(Full_Print,0,0,Last_Row)</definedName>
    <definedName name="Print_Area_Reset" localSheetId="11">OFFSET('Compreh. In Gr'!Full_Print,0,0,[0]!Last_Row)</definedName>
    <definedName name="Print_Area_Reset" localSheetId="30">OFFSET('Compreh. Income (C &amp; G)'!Full_Print,0,0,[0]!Last_Row)</definedName>
    <definedName name="Print_Area_Reset" localSheetId="31">OFFSET(Full_Print,0,0,[0]!Last_Row)</definedName>
    <definedName name="Print_Area_Reset" localSheetId="32">OFFSET('Compreh. Income (G)'!Full_Print,0,0,[0]!Last_Row)</definedName>
    <definedName name="Print_Area_Reset" localSheetId="27">OFFSET('P &amp; L (C &amp; G)'!Full_Print,0,0,[0]!Last_Row)</definedName>
    <definedName name="Print_Area_Reset" localSheetId="28">OFFSET('P &amp; L (company)'!Full_Print,0,0,[0]!Last_Row)</definedName>
    <definedName name="Print_Area_Reset" localSheetId="29">OFFSET('P &amp; L (group)'!Full_Print,0,0,[0]!Last_Row)</definedName>
    <definedName name="Print_Area_Reset" localSheetId="9">OFFSET('P &amp; L group'!Full_Print,0,0,[0]!Last_Row)</definedName>
    <definedName name="Print_Area_Reset" localSheetId="26">OFFSET('Ratio cal'!Full_Print,0,0,Last_Row)</definedName>
    <definedName name="Print_Area_Reset" localSheetId="15">OFFSET(Segment!Full_Print,0,0,[0]!Last_Row)</definedName>
    <definedName name="Print_Area_Reset" localSheetId="38">OFFSET('Segment final'!Full_Print,0,0,Last_Row)</definedName>
    <definedName name="Print_Area_Reset">OFFSET(Full_Print,0,0,Last_Row)</definedName>
    <definedName name="_xlnm.Print_Titles" localSheetId="12">CE_Company!$2:$3</definedName>
    <definedName name="_xlnm.Print_Titles" localSheetId="34">'CE_Company (2)'!$1:$2</definedName>
    <definedName name="_xlnm.Print_Titles" localSheetId="13">CE_Group!$2:$6</definedName>
    <definedName name="_xlnm.Print_Titles" localSheetId="35">'CE_Group 1 (2)'!$1:$2</definedName>
    <definedName name="QTY_RECONCILATI">#N/A</definedName>
    <definedName name="Sched_Pay" localSheetId="22">#REF!</definedName>
    <definedName name="Sched_Pay" localSheetId="4">#REF!</definedName>
    <definedName name="Sched_Pay" localSheetId="5">#REF!</definedName>
    <definedName name="Sched_Pay" localSheetId="23">#REF!</definedName>
    <definedName name="Sched_Pay" localSheetId="3">#REF!</definedName>
    <definedName name="Sched_Pay" localSheetId="33">#REF!</definedName>
    <definedName name="Sched_Pay" localSheetId="37">#REF!</definedName>
    <definedName name="Sched_Pay" localSheetId="12">#REF!</definedName>
    <definedName name="Sched_Pay" localSheetId="34">#REF!</definedName>
    <definedName name="Sched_Pay" localSheetId="13">#REF!</definedName>
    <definedName name="Sched_Pay" localSheetId="35">#REF!</definedName>
    <definedName name="Sched_Pay" localSheetId="36">#REF!</definedName>
    <definedName name="Sched_Pay" localSheetId="14">#REF!</definedName>
    <definedName name="Sched_Pay" localSheetId="40">#REF!</definedName>
    <definedName name="Sched_Pay" localSheetId="11">#REF!</definedName>
    <definedName name="Sched_Pay" localSheetId="30">#REF!</definedName>
    <definedName name="Sched_Pay" localSheetId="32">#REF!</definedName>
    <definedName name="Sched_Pay" localSheetId="27">#REF!</definedName>
    <definedName name="Sched_Pay" localSheetId="28">#REF!</definedName>
    <definedName name="Sched_Pay" localSheetId="29">#REF!</definedName>
    <definedName name="Sched_Pay" localSheetId="9">#REF!</definedName>
    <definedName name="Sched_Pay" localSheetId="15">#REF!</definedName>
    <definedName name="Sched_Pay" localSheetId="38">#REF!</definedName>
    <definedName name="Sched_Pay">#REF!</definedName>
    <definedName name="Scheduled_Extra_Payments" localSheetId="22">#REF!</definedName>
    <definedName name="Scheduled_Extra_Payments" localSheetId="4">#REF!</definedName>
    <definedName name="Scheduled_Extra_Payments" localSheetId="5">#REF!</definedName>
    <definedName name="Scheduled_Extra_Payments" localSheetId="23">#REF!</definedName>
    <definedName name="Scheduled_Extra_Payments" localSheetId="3">#REF!</definedName>
    <definedName name="Scheduled_Extra_Payments" localSheetId="33">#REF!</definedName>
    <definedName name="Scheduled_Extra_Payments" localSheetId="37">#REF!</definedName>
    <definedName name="Scheduled_Extra_Payments" localSheetId="12">#REF!</definedName>
    <definedName name="Scheduled_Extra_Payments" localSheetId="34">#REF!</definedName>
    <definedName name="Scheduled_Extra_Payments" localSheetId="13">#REF!</definedName>
    <definedName name="Scheduled_Extra_Payments" localSheetId="35">#REF!</definedName>
    <definedName name="Scheduled_Extra_Payments" localSheetId="36">#REF!</definedName>
    <definedName name="Scheduled_Extra_Payments" localSheetId="14">#REF!</definedName>
    <definedName name="Scheduled_Extra_Payments" localSheetId="40">#REF!</definedName>
    <definedName name="Scheduled_Extra_Payments" localSheetId="11">#REF!</definedName>
    <definedName name="Scheduled_Extra_Payments" localSheetId="30">#REF!</definedName>
    <definedName name="Scheduled_Extra_Payments" localSheetId="32">#REF!</definedName>
    <definedName name="Scheduled_Extra_Payments" localSheetId="27">#REF!</definedName>
    <definedName name="Scheduled_Extra_Payments" localSheetId="28">#REF!</definedName>
    <definedName name="Scheduled_Extra_Payments" localSheetId="29">#REF!</definedName>
    <definedName name="Scheduled_Extra_Payments" localSheetId="9">#REF!</definedName>
    <definedName name="Scheduled_Extra_Payments" localSheetId="15">#REF!</definedName>
    <definedName name="Scheduled_Extra_Payments" localSheetId="38">#REF!</definedName>
    <definedName name="Scheduled_Extra_Payments">#REF!</definedName>
    <definedName name="Scheduled_Interest_Rate" localSheetId="22">#REF!</definedName>
    <definedName name="Scheduled_Interest_Rate" localSheetId="4">#REF!</definedName>
    <definedName name="Scheduled_Interest_Rate" localSheetId="5">#REF!</definedName>
    <definedName name="Scheduled_Interest_Rate" localSheetId="23">#REF!</definedName>
    <definedName name="Scheduled_Interest_Rate" localSheetId="3">#REF!</definedName>
    <definedName name="Scheduled_Interest_Rate" localSheetId="33">#REF!</definedName>
    <definedName name="Scheduled_Interest_Rate" localSheetId="37">#REF!</definedName>
    <definedName name="Scheduled_Interest_Rate" localSheetId="12">#REF!</definedName>
    <definedName name="Scheduled_Interest_Rate" localSheetId="34">#REF!</definedName>
    <definedName name="Scheduled_Interest_Rate" localSheetId="13">#REF!</definedName>
    <definedName name="Scheduled_Interest_Rate" localSheetId="35">#REF!</definedName>
    <definedName name="Scheduled_Interest_Rate" localSheetId="36">#REF!</definedName>
    <definedName name="Scheduled_Interest_Rate" localSheetId="14">#REF!</definedName>
    <definedName name="Scheduled_Interest_Rate" localSheetId="40">#REF!</definedName>
    <definedName name="Scheduled_Interest_Rate" localSheetId="11">#REF!</definedName>
    <definedName name="Scheduled_Interest_Rate" localSheetId="30">#REF!</definedName>
    <definedName name="Scheduled_Interest_Rate" localSheetId="32">#REF!</definedName>
    <definedName name="Scheduled_Interest_Rate" localSheetId="27">#REF!</definedName>
    <definedName name="Scheduled_Interest_Rate" localSheetId="28">#REF!</definedName>
    <definedName name="Scheduled_Interest_Rate" localSheetId="29">#REF!</definedName>
    <definedName name="Scheduled_Interest_Rate" localSheetId="9">#REF!</definedName>
    <definedName name="Scheduled_Interest_Rate" localSheetId="15">#REF!</definedName>
    <definedName name="Scheduled_Interest_Rate" localSheetId="38">#REF!</definedName>
    <definedName name="Scheduled_Interest_Rate">#REF!</definedName>
    <definedName name="Scheduled_Monthly_Payment" localSheetId="22">#REF!</definedName>
    <definedName name="Scheduled_Monthly_Payment" localSheetId="4">#REF!</definedName>
    <definedName name="Scheduled_Monthly_Payment" localSheetId="5">#REF!</definedName>
    <definedName name="Scheduled_Monthly_Payment" localSheetId="3">#REF!</definedName>
    <definedName name="Scheduled_Monthly_Payment" localSheetId="33">#REF!</definedName>
    <definedName name="Scheduled_Monthly_Payment" localSheetId="37">#REF!</definedName>
    <definedName name="Scheduled_Monthly_Payment" localSheetId="12">#REF!</definedName>
    <definedName name="Scheduled_Monthly_Payment" localSheetId="34">#REF!</definedName>
    <definedName name="Scheduled_Monthly_Payment" localSheetId="13">#REF!</definedName>
    <definedName name="Scheduled_Monthly_Payment" localSheetId="35">#REF!</definedName>
    <definedName name="Scheduled_Monthly_Payment" localSheetId="36">#REF!</definedName>
    <definedName name="Scheduled_Monthly_Payment" localSheetId="14">#REF!</definedName>
    <definedName name="Scheduled_Monthly_Payment" localSheetId="40">#REF!</definedName>
    <definedName name="Scheduled_Monthly_Payment" localSheetId="11">#REF!</definedName>
    <definedName name="Scheduled_Monthly_Payment" localSheetId="30">#REF!</definedName>
    <definedName name="Scheduled_Monthly_Payment" localSheetId="32">#REF!</definedName>
    <definedName name="Scheduled_Monthly_Payment" localSheetId="27">#REF!</definedName>
    <definedName name="Scheduled_Monthly_Payment" localSheetId="28">#REF!</definedName>
    <definedName name="Scheduled_Monthly_Payment" localSheetId="29">#REF!</definedName>
    <definedName name="Scheduled_Monthly_Payment" localSheetId="9">#REF!</definedName>
    <definedName name="Scheduled_Monthly_Payment" localSheetId="15">#REF!</definedName>
    <definedName name="Scheduled_Monthly_Payment" localSheetId="38">#REF!</definedName>
    <definedName name="Scheduled_Monthly_Payment">#REF!</definedName>
    <definedName name="ss" localSheetId="22">#REF!</definedName>
    <definedName name="ss" localSheetId="4">#REF!</definedName>
    <definedName name="ss" localSheetId="5">#REF!</definedName>
    <definedName name="ss" localSheetId="3">#REF!</definedName>
    <definedName name="ss" localSheetId="33">#REF!</definedName>
    <definedName name="ss" localSheetId="37">#REF!</definedName>
    <definedName name="ss" localSheetId="12">#REF!</definedName>
    <definedName name="ss" localSheetId="34">#REF!</definedName>
    <definedName name="ss" localSheetId="13">#REF!</definedName>
    <definedName name="ss" localSheetId="35">#REF!</definedName>
    <definedName name="ss" localSheetId="36">#REF!</definedName>
    <definedName name="ss" localSheetId="14">#REF!</definedName>
    <definedName name="ss" localSheetId="40">#REF!</definedName>
    <definedName name="ss" localSheetId="11">#REF!</definedName>
    <definedName name="ss" localSheetId="30">#REF!</definedName>
    <definedName name="ss" localSheetId="32">#REF!</definedName>
    <definedName name="ss" localSheetId="27">#REF!</definedName>
    <definedName name="ss" localSheetId="28">#REF!</definedName>
    <definedName name="ss" localSheetId="29">#REF!</definedName>
    <definedName name="ss" localSheetId="9">#REF!</definedName>
    <definedName name="ss" localSheetId="15">#REF!</definedName>
    <definedName name="ss" localSheetId="38">#REF!</definedName>
    <definedName name="ss">#REF!</definedName>
    <definedName name="ssss" localSheetId="22">#REF!</definedName>
    <definedName name="ssss" localSheetId="4">#REF!</definedName>
    <definedName name="ssss" localSheetId="5">#REF!</definedName>
    <definedName name="ssss" localSheetId="3">#REF!</definedName>
    <definedName name="ssss" localSheetId="33">#REF!</definedName>
    <definedName name="ssss" localSheetId="37">#REF!</definedName>
    <definedName name="ssss" localSheetId="12">#REF!</definedName>
    <definedName name="ssss" localSheetId="34">#REF!</definedName>
    <definedName name="ssss" localSheetId="13">#REF!</definedName>
    <definedName name="ssss" localSheetId="35">#REF!</definedName>
    <definedName name="ssss" localSheetId="36">#REF!</definedName>
    <definedName name="ssss" localSheetId="14">#REF!</definedName>
    <definedName name="ssss" localSheetId="40">#REF!</definedName>
    <definedName name="ssss" localSheetId="11">#REF!</definedName>
    <definedName name="ssss" localSheetId="30">#REF!</definedName>
    <definedName name="ssss" localSheetId="32">#REF!</definedName>
    <definedName name="ssss" localSheetId="27">#REF!</definedName>
    <definedName name="ssss" localSheetId="28">#REF!</definedName>
    <definedName name="ssss" localSheetId="29">#REF!</definedName>
    <definedName name="ssss" localSheetId="9">#REF!</definedName>
    <definedName name="ssss" localSheetId="15">#REF!</definedName>
    <definedName name="ssss" localSheetId="38">#REF!</definedName>
    <definedName name="ssss">#REF!</definedName>
    <definedName name="TB_ROWS_" localSheetId="22">[1]Accounts!#REF!</definedName>
    <definedName name="TB_ROWS_" localSheetId="4">[1]Accounts!#REF!</definedName>
    <definedName name="TB_ROWS_" localSheetId="5">[1]Accounts!#REF!</definedName>
    <definedName name="TB_ROWS_" localSheetId="23">[1]Accounts!#REF!</definedName>
    <definedName name="TB_ROWS_" localSheetId="13">[1]Accounts!#REF!</definedName>
    <definedName name="TB_ROWS_" localSheetId="35">[1]Accounts!#REF!</definedName>
    <definedName name="TB_ROWS_" localSheetId="36">[1]Accounts!#REF!</definedName>
    <definedName name="TB_ROWS_" localSheetId="14">[1]Accounts!#REF!</definedName>
    <definedName name="TB_ROWS_" localSheetId="40">[1]Accounts!#REF!</definedName>
    <definedName name="TB_ROWS_" localSheetId="11">[1]Accounts!#REF!</definedName>
    <definedName name="TB_ROWS_" localSheetId="30">[1]Accounts!#REF!</definedName>
    <definedName name="TB_ROWS_" localSheetId="32">[1]Accounts!#REF!</definedName>
    <definedName name="TB_ROWS_" localSheetId="27">[1]Accounts!#REF!</definedName>
    <definedName name="TB_ROWS_" localSheetId="28">[1]Accounts!#REF!</definedName>
    <definedName name="TB_ROWS_" localSheetId="29">[1]Accounts!#REF!</definedName>
    <definedName name="TB_ROWS_" localSheetId="9">[1]Accounts!#REF!</definedName>
    <definedName name="TB_ROWS_" localSheetId="26">[1]Accounts!#REF!</definedName>
    <definedName name="TB_ROWS_" localSheetId="15">[1]Accounts!#REF!</definedName>
    <definedName name="TB_ROWS_" localSheetId="38">[1]Accounts!#REF!</definedName>
    <definedName name="TB_ROWS_">[1]Accounts!#REF!</definedName>
    <definedName name="Total_Interest" localSheetId="22">#REF!</definedName>
    <definedName name="Total_Interest" localSheetId="4">#REF!</definedName>
    <definedName name="Total_Interest" localSheetId="5">#REF!</definedName>
    <definedName name="Total_Interest" localSheetId="23">#REF!</definedName>
    <definedName name="Total_Interest" localSheetId="3">#REF!</definedName>
    <definedName name="Total_Interest" localSheetId="33">#REF!</definedName>
    <definedName name="Total_Interest" localSheetId="37">#REF!</definedName>
    <definedName name="Total_Interest" localSheetId="12">#REF!</definedName>
    <definedName name="Total_Interest" localSheetId="34">#REF!</definedName>
    <definedName name="Total_Interest" localSheetId="13">#REF!</definedName>
    <definedName name="Total_Interest" localSheetId="35">#REF!</definedName>
    <definedName name="Total_Interest" localSheetId="36">#REF!</definedName>
    <definedName name="Total_Interest" localSheetId="14">#REF!</definedName>
    <definedName name="Total_Interest" localSheetId="40">#REF!</definedName>
    <definedName name="Total_Interest" localSheetId="11">#REF!</definedName>
    <definedName name="Total_Interest" localSheetId="30">#REF!</definedName>
    <definedName name="Total_Interest" localSheetId="32">#REF!</definedName>
    <definedName name="Total_Interest" localSheetId="27">#REF!</definedName>
    <definedName name="Total_Interest" localSheetId="28">#REF!</definedName>
    <definedName name="Total_Interest" localSheetId="29">#REF!</definedName>
    <definedName name="Total_Interest" localSheetId="9">#REF!</definedName>
    <definedName name="Total_Interest" localSheetId="26">#REF!</definedName>
    <definedName name="Total_Interest" localSheetId="15">#REF!</definedName>
    <definedName name="Total_Interest" localSheetId="38">#REF!</definedName>
    <definedName name="Total_Interest">#REF!</definedName>
    <definedName name="Total_Pay" localSheetId="22">#REF!</definedName>
    <definedName name="Total_Pay" localSheetId="4">#REF!</definedName>
    <definedName name="Total_Pay" localSheetId="5">#REF!</definedName>
    <definedName name="Total_Pay" localSheetId="23">#REF!</definedName>
    <definedName name="Total_Pay" localSheetId="3">#REF!</definedName>
    <definedName name="Total_Pay" localSheetId="33">#REF!</definedName>
    <definedName name="Total_Pay" localSheetId="37">#REF!</definedName>
    <definedName name="Total_Pay" localSheetId="12">#REF!</definedName>
    <definedName name="Total_Pay" localSheetId="34">#REF!</definedName>
    <definedName name="Total_Pay" localSheetId="13">#REF!</definedName>
    <definedName name="Total_Pay" localSheetId="35">#REF!</definedName>
    <definedName name="Total_Pay" localSheetId="36">#REF!</definedName>
    <definedName name="Total_Pay" localSheetId="14">#REF!</definedName>
    <definedName name="Total_Pay" localSheetId="40">#REF!</definedName>
    <definedName name="Total_Pay" localSheetId="11">#REF!</definedName>
    <definedName name="Total_Pay" localSheetId="30">#REF!</definedName>
    <definedName name="Total_Pay" localSheetId="32">#REF!</definedName>
    <definedName name="Total_Pay" localSheetId="27">#REF!</definedName>
    <definedName name="Total_Pay" localSheetId="28">#REF!</definedName>
    <definedName name="Total_Pay" localSheetId="29">#REF!</definedName>
    <definedName name="Total_Pay" localSheetId="9">#REF!</definedName>
    <definedName name="Total_Pay" localSheetId="15">#REF!</definedName>
    <definedName name="Total_Pay" localSheetId="38">#REF!</definedName>
    <definedName name="Total_Pay">#REF!</definedName>
    <definedName name="Trial" localSheetId="23">#REF!</definedName>
    <definedName name="Trial">#REF!</definedName>
    <definedName name="TrialCAB">#REF!</definedName>
    <definedName name="Values_Entered" localSheetId="22">IF('1 (BS)'!Loan_Amount*'1 (BS)'!Interest_Rate*'1 (BS)'!Loan_Years*'1 (BS)'!Loan_Start&gt;0,1,0)</definedName>
    <definedName name="Values_Entered" localSheetId="4">IF('2 (IS)'!Loan_Amount*'2 (IS)'!Interest_Rate*'2 (IS)'!Loan_Years*'2 (IS)'!Loan_Start&gt;0,1,0)</definedName>
    <definedName name="Values_Entered" localSheetId="5">IF('3 (OCI)'!Loan_Amount*'3 (OCI)'!Interest_Rate*'3 (OCI)'!Loan_Years*'3 (OCI)'!Loan_Start&gt;0,1,0)</definedName>
    <definedName name="Values_Entered" localSheetId="23">IF('4 (Ratios) (2)'!Loan_Amount*'4 (Ratios) (2)'!Interest_Rate*Loan_Years*Loan_Start&gt;0,1,0)</definedName>
    <definedName name="Values_Entered" localSheetId="3">IF(BS!Loan_Amount*BS!Interest_Rate*BS!Loan_Years*BS!Loan_Start&gt;0,1,0)</definedName>
    <definedName name="Values_Entered" localSheetId="33">IF('BS (3)'!Loan_Amount*'BS (3)'!Interest_Rate*'BS (3)'!Loan_Years*'BS (3)'!Loan_Start&gt;0,1,0)</definedName>
    <definedName name="Values_Entered" localSheetId="37">IF('BS (4)'!Loan_Amount*'BS (4)'!Interest_Rate*'BS (4)'!Loan_Years*'BS (4)'!Loan_Start&gt;0,1,0)</definedName>
    <definedName name="Values_Entered" localSheetId="12">IF(CE_Company!Loan_Amount*CE_Company!Interest_Rate*CE_Company!Loan_Years*CE_Company!Loan_Start&gt;0,1,0)</definedName>
    <definedName name="Values_Entered" localSheetId="34">IF('CE_Company (2)'!Loan_Amount*'CE_Company (2)'!Interest_Rate*'CE_Company (2)'!Loan_Years*'CE_Company (2)'!Loan_Start&gt;0,1,0)</definedName>
    <definedName name="Values_Entered" localSheetId="13">IF(CE_Group!Loan_Amount*CE_Group!Interest_Rate*CE_Group!Loan_Years*CE_Group!Loan_Start&gt;0,1,0)</definedName>
    <definedName name="Values_Entered" localSheetId="35">IF('CE_Group 1 (2)'!Loan_Amount*'CE_Group 1 (2)'!Interest_Rate*'CE_Group 1 (2)'!Loan_Years*'CE_Group 1 (2)'!Loan_Start&gt;0,1,0)</definedName>
    <definedName name="Values_Entered" localSheetId="36">IF('CF (3)'!Loan_Amount*'CF (3)'!Interest_Rate*'CF (3)'!Loan_Years*'CF (3)'!Loan_Start&gt;0,1,0)</definedName>
    <definedName name="Values_Entered" localSheetId="14">IF('CF final'!Loan_Amount*'CF final'!Interest_Rate*'CF final'!Loan_Years*'CF final'!Loan_Start&gt;0,1,0)</definedName>
    <definedName name="Values_Entered" localSheetId="40">IF('CF Working - 2013'!Loan_Amount*'CF Working - 2013'!Interest_Rate*'CF Working - 2013'!Loan_Years*'CF Working - 2013'!Loan_Start&gt;0,1,0)</definedName>
    <definedName name="Values_Entered" localSheetId="10">IF(Loan_Amount*Interest_Rate*Loan_Years*Loan_Start&gt;0,1,0)</definedName>
    <definedName name="Values_Entered" localSheetId="11">IF('Compreh. In Gr'!Loan_Amount*'Compreh. In Gr'!Interest_Rate*'Compreh. In Gr'!Loan_Years*'Compreh. In Gr'!Loan_Start&gt;0,1,0)</definedName>
    <definedName name="Values_Entered" localSheetId="30">IF('Compreh. Income (C &amp; G)'!Loan_Amount*'Compreh. Income (C &amp; G)'!Interest_Rate*'Compreh. Income (C &amp; G)'!Loan_Years*'Compreh. Income (C &amp; G)'!Loan_Start&gt;0,1,0)</definedName>
    <definedName name="Values_Entered" localSheetId="31">IF(Loan_Amount*Interest_Rate*Loan_Years*Loan_Start&gt;0,1,0)</definedName>
    <definedName name="Values_Entered" localSheetId="32">IF('Compreh. Income (G)'!Loan_Amount*'Compreh. Income (G)'!Interest_Rate*'Compreh. Income (G)'!Loan_Years*'Compreh. Income (G)'!Loan_Start&gt;0,1,0)</definedName>
    <definedName name="Values_Entered" localSheetId="27">IF('P &amp; L (C &amp; G)'!Loan_Amount*'P &amp; L (C &amp; G)'!Interest_Rate*'P &amp; L (C &amp; G)'!Loan_Years*'P &amp; L (C &amp; G)'!Loan_Start&gt;0,1,0)</definedName>
    <definedName name="Values_Entered" localSheetId="28">IF('P &amp; L (company)'!Loan_Amount*'P &amp; L (company)'!Interest_Rate*'P &amp; L (company)'!Loan_Years*'P &amp; L (company)'!Loan_Start&gt;0,1,0)</definedName>
    <definedName name="Values_Entered" localSheetId="29">IF('P &amp; L (group)'!Loan_Amount*'P &amp; L (group)'!Interest_Rate*'P &amp; L (group)'!Loan_Years*'P &amp; L (group)'!Loan_Start&gt;0,1,0)</definedName>
    <definedName name="Values_Entered" localSheetId="9">IF('P &amp; L group'!Loan_Amount*'P &amp; L group'!Interest_Rate*'P &amp; L group'!Loan_Years*'P &amp; L group'!Loan_Start&gt;0,1,0)</definedName>
    <definedName name="Values_Entered" localSheetId="26">IF('Ratio cal'!Loan_Amount*Interest_Rate*Loan_Years*Loan_Start&gt;0,1,0)</definedName>
    <definedName name="Values_Entered" localSheetId="15">IF(Segment!Loan_Amount*Segment!Interest_Rate*Segment!Loan_Years*Segment!Loan_Start&gt;0,1,0)</definedName>
    <definedName name="Values_Entered" localSheetId="38">IF('Segment final'!Loan_Amount*'Segment final'!Interest_Rate*'Segment final'!Loan_Years*'Segment final'!Loan_Start&gt;0,1,0)</definedName>
    <definedName name="Values_Entered">IF(Loan_Amount*Interest_Rate*Loan_Years*Loan_Start&gt;0,1,0)</definedName>
    <definedName name="VAUATION__F_G_" localSheetId="22">[1]Accounts!#REF!</definedName>
    <definedName name="VAUATION__F_G_" localSheetId="4">[1]Accounts!#REF!</definedName>
    <definedName name="VAUATION__F_G_" localSheetId="5">[1]Accounts!#REF!</definedName>
    <definedName name="VAUATION__F_G_" localSheetId="23">[1]Accounts!#REF!</definedName>
    <definedName name="VAUATION__F_G_" localSheetId="3">[1]Accounts!#REF!</definedName>
    <definedName name="VAUATION__F_G_" localSheetId="33">[1]Accounts!#REF!</definedName>
    <definedName name="VAUATION__F_G_" localSheetId="37">[1]Accounts!#REF!</definedName>
    <definedName name="VAUATION__F_G_" localSheetId="12">[1]Accounts!#REF!</definedName>
    <definedName name="VAUATION__F_G_" localSheetId="34">[1]Accounts!#REF!</definedName>
    <definedName name="VAUATION__F_G_" localSheetId="13">[1]Accounts!#REF!</definedName>
    <definedName name="VAUATION__F_G_" localSheetId="35">[1]Accounts!#REF!</definedName>
    <definedName name="VAUATION__F_G_" localSheetId="36">[1]Accounts!#REF!</definedName>
    <definedName name="VAUATION__F_G_" localSheetId="14">[1]Accounts!#REF!</definedName>
    <definedName name="VAUATION__F_G_" localSheetId="40">[1]Accounts!#REF!</definedName>
    <definedName name="VAUATION__F_G_" localSheetId="11">[1]Accounts!#REF!</definedName>
    <definedName name="VAUATION__F_G_" localSheetId="30">[1]Accounts!#REF!</definedName>
    <definedName name="VAUATION__F_G_" localSheetId="32">[1]Accounts!#REF!</definedName>
    <definedName name="VAUATION__F_G_" localSheetId="27">[1]Accounts!#REF!</definedName>
    <definedName name="VAUATION__F_G_" localSheetId="28">[1]Accounts!#REF!</definedName>
    <definedName name="VAUATION__F_G_" localSheetId="29">[1]Accounts!#REF!</definedName>
    <definedName name="VAUATION__F_G_" localSheetId="9">[1]Accounts!#REF!</definedName>
    <definedName name="VAUATION__F_G_" localSheetId="26">[1]Accounts!#REF!</definedName>
    <definedName name="VAUATION__F_G_" localSheetId="15">[1]Accounts!#REF!</definedName>
    <definedName name="VAUATION__F_G_" localSheetId="38">[1]Accounts!#REF!</definedName>
    <definedName name="VAUATION__F_G_">[1]Accounts!#REF!</definedName>
    <definedName name="W" localSheetId="22">#REF!</definedName>
    <definedName name="W" localSheetId="4">#REF!</definedName>
    <definedName name="W" localSheetId="5">#REF!</definedName>
    <definedName name="W" localSheetId="23">#REF!</definedName>
    <definedName name="W" localSheetId="3">#REF!</definedName>
    <definedName name="W" localSheetId="33">#REF!</definedName>
    <definedName name="W" localSheetId="37">#REF!</definedName>
    <definedName name="W" localSheetId="12">#REF!</definedName>
    <definedName name="W" localSheetId="34">#REF!</definedName>
    <definedName name="W" localSheetId="13">#REF!</definedName>
    <definedName name="W" localSheetId="35">#REF!</definedName>
    <definedName name="W" localSheetId="36">#REF!</definedName>
    <definedName name="W" localSheetId="14">#REF!</definedName>
    <definedName name="W" localSheetId="40">#REF!</definedName>
    <definedName name="W" localSheetId="11">#REF!</definedName>
    <definedName name="W" localSheetId="30">#REF!</definedName>
    <definedName name="W" localSheetId="32">#REF!</definedName>
    <definedName name="W" localSheetId="27">#REF!</definedName>
    <definedName name="W" localSheetId="28">#REF!</definedName>
    <definedName name="W" localSheetId="29">#REF!</definedName>
    <definedName name="W" localSheetId="9">#REF!</definedName>
    <definedName name="W" localSheetId="15">#REF!</definedName>
    <definedName name="W" localSheetId="38">#REF!</definedName>
    <definedName name="W">#REF!</definedName>
  </definedNames>
  <calcPr calcId="125725"/>
  <fileRecoveryPr autoRecover="0"/>
</workbook>
</file>

<file path=xl/calcChain.xml><?xml version="1.0" encoding="utf-8"?>
<calcChain xmlns="http://schemas.openxmlformats.org/spreadsheetml/2006/main">
  <c r="M29" i="61"/>
  <c r="E29"/>
  <c r="M40"/>
  <c r="M39"/>
  <c r="K17" i="55" l="1"/>
  <c r="K46" i="54"/>
  <c r="E41" l="1"/>
  <c r="E31"/>
  <c r="E10"/>
  <c r="K23" l="1"/>
  <c r="E23"/>
  <c r="M42" i="61"/>
  <c r="M48"/>
  <c r="I49" l="1"/>
  <c r="D69" i="83" l="1"/>
  <c r="E69" s="1"/>
  <c r="D68"/>
  <c r="E68" s="1"/>
  <c r="D67"/>
  <c r="E67" s="1"/>
  <c r="D66"/>
  <c r="E66" s="1"/>
  <c r="D65"/>
  <c r="E65" s="1"/>
  <c r="D64"/>
  <c r="E64" s="1"/>
  <c r="D63"/>
  <c r="E63" s="1"/>
  <c r="D62"/>
  <c r="E62" s="1"/>
  <c r="C35" i="82"/>
  <c r="C34"/>
  <c r="G31" i="54"/>
  <c r="G10"/>
  <c r="O17" l="1"/>
  <c r="M38" i="61"/>
  <c r="M49"/>
  <c r="Q39"/>
  <c r="I39"/>
  <c r="E26"/>
  <c r="M17" i="55" l="1"/>
  <c r="G15"/>
  <c r="G23" i="54"/>
  <c r="E17"/>
  <c r="I17" s="1"/>
  <c r="M31"/>
  <c r="M28"/>
  <c r="K31"/>
  <c r="K28"/>
  <c r="G5" i="55" l="1"/>
  <c r="M5" s="1"/>
  <c r="E5"/>
  <c r="M6" i="54"/>
  <c r="S6" i="61"/>
  <c r="G32" i="54" l="1"/>
  <c r="S50" i="61" l="1"/>
  <c r="O29" l="1"/>
  <c r="G29"/>
  <c r="O17" i="55" l="1"/>
  <c r="O15"/>
  <c r="O38" i="54" l="1"/>
  <c r="C25" i="5" l="1"/>
  <c r="C27"/>
  <c r="C26"/>
  <c r="G8" i="54" l="1"/>
  <c r="G7" i="55" s="1"/>
  <c r="M7" s="1"/>
  <c r="O8" i="61"/>
  <c r="M8" i="54" l="1"/>
  <c r="M20" i="55"/>
  <c r="M24" s="1"/>
  <c r="M26" s="1"/>
  <c r="M32" i="54" l="1"/>
  <c r="K32"/>
  <c r="M15"/>
  <c r="M12"/>
  <c r="G15"/>
  <c r="G12"/>
  <c r="G20" i="55"/>
  <c r="G24" s="1"/>
  <c r="G26" s="1"/>
  <c r="M20" i="54" l="1"/>
  <c r="M25" s="1"/>
  <c r="M34" s="1"/>
  <c r="M36" s="1"/>
  <c r="M39" s="1"/>
  <c r="M42" s="1"/>
  <c r="G20"/>
  <c r="G25" s="1"/>
  <c r="G34" s="1"/>
  <c r="G36" s="1"/>
  <c r="G39" s="1"/>
  <c r="G42" s="1"/>
  <c r="M10" i="55" l="1"/>
  <c r="M27" s="1"/>
  <c r="M45" i="54"/>
  <c r="G10" i="55"/>
  <c r="G21" s="1"/>
  <c r="G45" i="54"/>
  <c r="M21" i="55"/>
  <c r="G27" l="1"/>
  <c r="M48" i="54"/>
  <c r="M47"/>
  <c r="G47"/>
  <c r="G48"/>
  <c r="Q24" i="61"/>
  <c r="Q26"/>
  <c r="E20" i="55" l="1"/>
  <c r="E24" s="1"/>
  <c r="K19"/>
  <c r="K16"/>
  <c r="O46" i="54"/>
  <c r="E32" l="1"/>
  <c r="Q51" i="61"/>
  <c r="O50" l="1"/>
  <c r="O52" s="1"/>
  <c r="G50"/>
  <c r="G52" s="1"/>
  <c r="O43"/>
  <c r="G43"/>
  <c r="G30"/>
  <c r="I25"/>
  <c r="O53" l="1"/>
  <c r="G53"/>
  <c r="O30"/>
  <c r="Q25"/>
  <c r="K20" i="55" l="1"/>
  <c r="K24" s="1"/>
  <c r="K26" s="1"/>
  <c r="K30" i="61" l="1"/>
  <c r="K15" i="54" l="1"/>
  <c r="K12"/>
  <c r="E12"/>
  <c r="E15"/>
  <c r="I32"/>
  <c r="I41"/>
  <c r="I35"/>
  <c r="I31"/>
  <c r="I29"/>
  <c r="I28"/>
  <c r="I27"/>
  <c r="I24"/>
  <c r="I23"/>
  <c r="I22"/>
  <c r="I19"/>
  <c r="I13"/>
  <c r="I11"/>
  <c r="I10"/>
  <c r="K6"/>
  <c r="E20" l="1"/>
  <c r="E25" s="1"/>
  <c r="E34" s="1"/>
  <c r="E36" s="1"/>
  <c r="E39" s="1"/>
  <c r="E42" s="1"/>
  <c r="E45" s="1"/>
  <c r="K20"/>
  <c r="I15"/>
  <c r="I12"/>
  <c r="E10" i="55" l="1"/>
  <c r="E47" i="54"/>
  <c r="I20"/>
  <c r="I25"/>
  <c r="E48" l="1"/>
  <c r="I48" s="1"/>
  <c r="I34"/>
  <c r="Q28" i="61"/>
  <c r="Q29"/>
  <c r="I36" i="54" l="1"/>
  <c r="I39" l="1"/>
  <c r="K25"/>
  <c r="K34" s="1"/>
  <c r="K36" s="1"/>
  <c r="K39" l="1"/>
  <c r="K42" s="1"/>
  <c r="K45" s="1"/>
  <c r="K48" s="1"/>
  <c r="O36"/>
  <c r="I42"/>
  <c r="O48" l="1"/>
  <c r="K47"/>
  <c r="K10" i="55"/>
  <c r="K27" s="1"/>
  <c r="I45" i="54"/>
  <c r="K5" i="55"/>
  <c r="I47" i="54" l="1"/>
  <c r="O6" i="61" l="1"/>
  <c r="M6"/>
  <c r="Q13"/>
  <c r="Q14"/>
  <c r="Q15"/>
  <c r="Q16"/>
  <c r="Q27"/>
  <c r="Q38"/>
  <c r="I27"/>
  <c r="I13"/>
  <c r="I14"/>
  <c r="I24" i="55" l="1"/>
  <c r="O1" i="61"/>
  <c r="G1"/>
  <c r="I55"/>
  <c r="E26" i="55" l="1"/>
  <c r="I26" s="1"/>
  <c r="O26"/>
  <c r="E30" i="61"/>
  <c r="Q17" l="1"/>
  <c r="I16"/>
  <c r="I17"/>
  <c r="S52" l="1"/>
  <c r="S43"/>
  <c r="S30"/>
  <c r="K50"/>
  <c r="K52" s="1"/>
  <c r="K43"/>
  <c r="K53" l="1"/>
  <c r="K1" s="1"/>
  <c r="S53"/>
  <c r="S1" s="1"/>
  <c r="Q58"/>
  <c r="I58"/>
  <c r="M50"/>
  <c r="M52" s="1"/>
  <c r="Q52" s="1"/>
  <c r="E50"/>
  <c r="E52" s="1"/>
  <c r="I52" s="1"/>
  <c r="E43"/>
  <c r="I11"/>
  <c r="E53" l="1"/>
  <c r="E1" s="1"/>
  <c r="Q12"/>
  <c r="Q20"/>
  <c r="Q35"/>
  <c r="Q36"/>
  <c r="Q48"/>
  <c r="Q49"/>
  <c r="Q55"/>
  <c r="I12"/>
  <c r="I20"/>
  <c r="I35"/>
  <c r="I48"/>
  <c r="I56"/>
  <c r="Q11"/>
  <c r="Q42"/>
  <c r="Q40"/>
  <c r="I22"/>
  <c r="I26"/>
  <c r="I29"/>
  <c r="I36"/>
  <c r="I40"/>
  <c r="I33"/>
  <c r="Q18"/>
  <c r="Q19"/>
  <c r="Q33"/>
  <c r="Q34"/>
  <c r="I41"/>
  <c r="I42"/>
  <c r="Q47"/>
  <c r="M43"/>
  <c r="M53" s="1"/>
  <c r="Q53" s="1"/>
  <c r="Q46"/>
  <c r="M30"/>
  <c r="I15"/>
  <c r="I19"/>
  <c r="I43"/>
  <c r="I34"/>
  <c r="Q41"/>
  <c r="I46"/>
  <c r="I47"/>
  <c r="Q56"/>
  <c r="Q50"/>
  <c r="I52" i="10"/>
  <c r="M1" i="61" l="1"/>
  <c r="Q30"/>
  <c r="Q43"/>
  <c r="I50"/>
  <c r="I30"/>
  <c r="I53" l="1"/>
  <c r="O21" i="57"/>
  <c r="C20" i="56"/>
  <c r="K16"/>
  <c r="I16"/>
  <c r="E16"/>
  <c r="C16"/>
  <c r="M24" i="10" l="1"/>
  <c r="M11"/>
  <c r="K23"/>
  <c r="G26"/>
  <c r="E30"/>
  <c r="K50" l="1"/>
  <c r="K49"/>
  <c r="E50"/>
  <c r="E49"/>
  <c r="K20" i="56" l="1"/>
  <c r="M50" i="10"/>
  <c r="M49"/>
  <c r="G50"/>
  <c r="I50" s="1"/>
  <c r="G49"/>
  <c r="I49" s="1"/>
  <c r="I29" i="56" l="1"/>
  <c r="I20"/>
  <c r="N25" i="22"/>
  <c r="G11" i="10"/>
  <c r="G12"/>
  <c r="G13"/>
  <c r="G14"/>
  <c r="C12" i="56" l="1"/>
  <c r="C9"/>
  <c r="C17" l="1"/>
  <c r="C22" s="1"/>
  <c r="C25" i="22"/>
  <c r="M16" i="10"/>
  <c r="M17"/>
  <c r="M18"/>
  <c r="M19"/>
  <c r="M20"/>
  <c r="M21"/>
  <c r="M22"/>
  <c r="M23"/>
  <c r="M25"/>
  <c r="M26"/>
  <c r="K16"/>
  <c r="K17"/>
  <c r="K18"/>
  <c r="K19"/>
  <c r="K20"/>
  <c r="K21"/>
  <c r="K22"/>
  <c r="K24"/>
  <c r="K25"/>
  <c r="K26"/>
  <c r="G16"/>
  <c r="G17"/>
  <c r="G18"/>
  <c r="G19"/>
  <c r="G20"/>
  <c r="G21"/>
  <c r="G22"/>
  <c r="G23"/>
  <c r="G24"/>
  <c r="G25"/>
  <c r="E16"/>
  <c r="E17"/>
  <c r="E18"/>
  <c r="E19"/>
  <c r="E20"/>
  <c r="E21"/>
  <c r="E22"/>
  <c r="E23"/>
  <c r="E24"/>
  <c r="E25"/>
  <c r="E26"/>
  <c r="O23" i="54"/>
  <c r="O22"/>
  <c r="K12" i="56"/>
  <c r="I12"/>
  <c r="E12"/>
  <c r="M43" i="10"/>
  <c r="M44"/>
  <c r="M45"/>
  <c r="M42"/>
  <c r="M31"/>
  <c r="M32"/>
  <c r="M33"/>
  <c r="M34"/>
  <c r="M35"/>
  <c r="M36"/>
  <c r="M37"/>
  <c r="M38"/>
  <c r="M30"/>
  <c r="M12"/>
  <c r="M13"/>
  <c r="M14"/>
  <c r="M15"/>
  <c r="K43"/>
  <c r="K44"/>
  <c r="K45"/>
  <c r="K42"/>
  <c r="K31"/>
  <c r="K32"/>
  <c r="K33"/>
  <c r="K34"/>
  <c r="K35"/>
  <c r="K36"/>
  <c r="K37"/>
  <c r="K38"/>
  <c r="K30"/>
  <c r="K12"/>
  <c r="K13"/>
  <c r="K14"/>
  <c r="K15"/>
  <c r="O24" i="54" l="1"/>
  <c r="O13"/>
  <c r="M27" i="10"/>
  <c r="O15" i="54" l="1"/>
  <c r="K11" i="10"/>
  <c r="K27" s="1"/>
  <c r="G43"/>
  <c r="G44"/>
  <c r="G45"/>
  <c r="G42"/>
  <c r="G31"/>
  <c r="G32"/>
  <c r="G33"/>
  <c r="G34"/>
  <c r="G35"/>
  <c r="G36"/>
  <c r="G37"/>
  <c r="G38"/>
  <c r="G30"/>
  <c r="G15"/>
  <c r="G27" s="1"/>
  <c r="E43"/>
  <c r="E44"/>
  <c r="E45"/>
  <c r="E42"/>
  <c r="E31"/>
  <c r="E32"/>
  <c r="E33"/>
  <c r="E34"/>
  <c r="E35"/>
  <c r="E36"/>
  <c r="E37"/>
  <c r="E38"/>
  <c r="E15"/>
  <c r="E14"/>
  <c r="E13"/>
  <c r="E12"/>
  <c r="E11"/>
  <c r="C5" i="55"/>
  <c r="E6"/>
  <c r="K6" s="1"/>
  <c r="O41" i="54"/>
  <c r="O35"/>
  <c r="O31"/>
  <c r="O29"/>
  <c r="O28"/>
  <c r="O27"/>
  <c r="O11"/>
  <c r="O10"/>
  <c r="O16" l="1"/>
  <c r="O30"/>
  <c r="O19"/>
  <c r="E39" i="10"/>
  <c r="E27"/>
  <c r="C27" i="28"/>
  <c r="B18"/>
  <c r="O32" i="54" l="1"/>
  <c r="H474" i="29" l="1"/>
  <c r="F473"/>
  <c r="J468" l="1"/>
  <c r="J465"/>
  <c r="F465"/>
  <c r="F468" s="1"/>
  <c r="D55" i="6" s="1"/>
  <c r="H400" i="29" l="1"/>
  <c r="E27" i="55" l="1"/>
  <c r="I27" s="1"/>
  <c r="AA20" i="45"/>
  <c r="Y20"/>
  <c r="E17"/>
  <c r="D17"/>
  <c r="Q15"/>
  <c r="P19"/>
  <c r="Q13"/>
  <c r="P13"/>
  <c r="P12"/>
  <c r="P10"/>
  <c r="D10"/>
  <c r="D12"/>
  <c r="Z22"/>
  <c r="Z21"/>
  <c r="AA21"/>
  <c r="Y21"/>
  <c r="Z20"/>
  <c r="AA17"/>
  <c r="Y17"/>
  <c r="Z16"/>
  <c r="AA15"/>
  <c r="Y15"/>
  <c r="AA13"/>
  <c r="Y13"/>
  <c r="AA12"/>
  <c r="Y12"/>
  <c r="AA11"/>
  <c r="Y11"/>
  <c r="AA10"/>
  <c r="Y10"/>
  <c r="H381" i="29"/>
  <c r="L380"/>
  <c r="J380"/>
  <c r="H380"/>
  <c r="J392"/>
  <c r="F392"/>
  <c r="H392"/>
  <c r="F405"/>
  <c r="L396"/>
  <c r="J396"/>
  <c r="H383" l="1"/>
  <c r="D39" i="6" s="1"/>
  <c r="H399" i="29"/>
  <c r="H403" s="1"/>
  <c r="L397"/>
  <c r="J397"/>
  <c r="H397"/>
  <c r="H402" l="1"/>
  <c r="H405" s="1"/>
  <c r="E39" i="6" s="1"/>
  <c r="F309" i="29"/>
  <c r="F310"/>
  <c r="F311"/>
  <c r="F308"/>
  <c r="B309"/>
  <c r="B310"/>
  <c r="B311"/>
  <c r="B308"/>
  <c r="F312" l="1"/>
  <c r="F314" l="1"/>
  <c r="L364"/>
  <c r="J364"/>
  <c r="D29" i="45" l="1"/>
  <c r="T51" i="14" l="1"/>
  <c r="R50" i="11"/>
  <c r="D15" i="45" l="1"/>
  <c r="E15"/>
  <c r="G15"/>
  <c r="H15"/>
  <c r="J15"/>
  <c r="K15"/>
  <c r="M15"/>
  <c r="N15"/>
  <c r="P15"/>
  <c r="S15"/>
  <c r="T15"/>
  <c r="Q11" i="35"/>
  <c r="N11"/>
  <c r="K11"/>
  <c r="H11"/>
  <c r="E11"/>
  <c r="V15" i="45" l="1"/>
  <c r="AB15" s="1"/>
  <c r="W15"/>
  <c r="AC15" l="1"/>
  <c r="H42" i="59"/>
  <c r="I38" i="49"/>
  <c r="I37"/>
  <c r="E38"/>
  <c r="E37"/>
  <c r="T17" i="59"/>
  <c r="H17"/>
  <c r="T38"/>
  <c r="I22" i="49"/>
  <c r="I29"/>
  <c r="I15"/>
  <c r="T93" i="59"/>
  <c r="T94"/>
  <c r="T103"/>
  <c r="T95"/>
  <c r="T97"/>
  <c r="I33" i="49" l="1"/>
  <c r="K36" i="37" s="1"/>
  <c r="E16" i="49"/>
  <c r="E33"/>
  <c r="G36" i="37" s="1"/>
  <c r="E29" i="49"/>
  <c r="E22"/>
  <c r="E15"/>
  <c r="E14"/>
  <c r="E23" s="1"/>
  <c r="H97" i="59"/>
  <c r="H95"/>
  <c r="H94"/>
  <c r="H93"/>
  <c r="T37"/>
  <c r="H37"/>
  <c r="T30"/>
  <c r="H30"/>
  <c r="O50"/>
  <c r="Q50"/>
  <c r="Q5"/>
  <c r="O5"/>
  <c r="E50"/>
  <c r="C50" l="1"/>
  <c r="G50" s="1"/>
  <c r="H52" s="1"/>
  <c r="H139"/>
  <c r="H127"/>
  <c r="H126"/>
  <c r="T117"/>
  <c r="H117"/>
  <c r="T116"/>
  <c r="H116"/>
  <c r="T115"/>
  <c r="H115"/>
  <c r="T101"/>
  <c r="H101"/>
  <c r="S100"/>
  <c r="G100"/>
  <c r="S91"/>
  <c r="G91"/>
  <c r="T89"/>
  <c r="H89"/>
  <c r="S88"/>
  <c r="G88"/>
  <c r="S85"/>
  <c r="T86" s="1"/>
  <c r="T96" s="1"/>
  <c r="G85"/>
  <c r="H86" s="1"/>
  <c r="H96" s="1"/>
  <c r="T114"/>
  <c r="H114"/>
  <c r="S77"/>
  <c r="T80" s="1"/>
  <c r="G77"/>
  <c r="H80" s="1"/>
  <c r="S74"/>
  <c r="T75" s="1"/>
  <c r="T71" s="1"/>
  <c r="G74"/>
  <c r="H75" s="1"/>
  <c r="H71" s="1"/>
  <c r="T69"/>
  <c r="H69"/>
  <c r="W68"/>
  <c r="W73" s="1"/>
  <c r="T70" s="1"/>
  <c r="I16" i="49" s="1"/>
  <c r="S68" i="59"/>
  <c r="G68"/>
  <c r="S67"/>
  <c r="T67" s="1"/>
  <c r="T139" s="1"/>
  <c r="E67"/>
  <c r="C67"/>
  <c r="Q63"/>
  <c r="S63" s="1"/>
  <c r="T65" s="1"/>
  <c r="E63"/>
  <c r="G63" s="1"/>
  <c r="H65" s="1"/>
  <c r="S59"/>
  <c r="T59" s="1"/>
  <c r="T138" s="1"/>
  <c r="G59"/>
  <c r="H59" s="1"/>
  <c r="H138" s="1"/>
  <c r="S57"/>
  <c r="T57" s="1"/>
  <c r="G57"/>
  <c r="H57" s="1"/>
  <c r="S56"/>
  <c r="T56" s="1"/>
  <c r="T136" s="1"/>
  <c r="G56"/>
  <c r="H56" s="1"/>
  <c r="H136" s="1"/>
  <c r="S54"/>
  <c r="T54" s="1"/>
  <c r="G54"/>
  <c r="H54" s="1"/>
  <c r="S50"/>
  <c r="T52" s="1"/>
  <c r="I27" i="49" s="1"/>
  <c r="S46" i="59"/>
  <c r="T46" s="1"/>
  <c r="T129" s="1"/>
  <c r="G46"/>
  <c r="H46" s="1"/>
  <c r="H129" s="1"/>
  <c r="Q45"/>
  <c r="O45"/>
  <c r="G45"/>
  <c r="E21" i="49"/>
  <c r="T41" i="59"/>
  <c r="T40"/>
  <c r="Z38"/>
  <c r="AA38" s="1"/>
  <c r="AA37" s="1"/>
  <c r="W38"/>
  <c r="W43"/>
  <c r="T39" s="1"/>
  <c r="T111"/>
  <c r="H111"/>
  <c r="S36"/>
  <c r="G36"/>
  <c r="T112"/>
  <c r="H112"/>
  <c r="S29"/>
  <c r="T34" s="1"/>
  <c r="G29"/>
  <c r="H34" s="1"/>
  <c r="Q28"/>
  <c r="O28"/>
  <c r="E28"/>
  <c r="C28"/>
  <c r="Q27"/>
  <c r="Q106" s="1"/>
  <c r="Q1" s="1"/>
  <c r="O27"/>
  <c r="E27"/>
  <c r="C27"/>
  <c r="S26"/>
  <c r="T26" s="1"/>
  <c r="T128" s="1"/>
  <c r="G26"/>
  <c r="H26" s="1"/>
  <c r="H128" s="1"/>
  <c r="S23"/>
  <c r="G23"/>
  <c r="H23" s="1"/>
  <c r="S21"/>
  <c r="T21" s="1"/>
  <c r="T126" s="1"/>
  <c r="E21"/>
  <c r="C21"/>
  <c r="T113"/>
  <c r="H113"/>
  <c r="S16"/>
  <c r="T19" s="1"/>
  <c r="T124" s="1"/>
  <c r="G16"/>
  <c r="H19" s="1"/>
  <c r="H124" s="1"/>
  <c r="S12"/>
  <c r="T14" s="1"/>
  <c r="T123" s="1"/>
  <c r="G12"/>
  <c r="H14" s="1"/>
  <c r="H123" s="1"/>
  <c r="O11"/>
  <c r="S11" s="1"/>
  <c r="T11" s="1"/>
  <c r="C11"/>
  <c r="G11" s="1"/>
  <c r="H11" s="1"/>
  <c r="S10"/>
  <c r="T10" s="1"/>
  <c r="T122" s="1"/>
  <c r="G10"/>
  <c r="H10" s="1"/>
  <c r="H122" s="1"/>
  <c r="S9"/>
  <c r="T9" s="1"/>
  <c r="G9"/>
  <c r="H9" s="1"/>
  <c r="H127" i="30"/>
  <c r="T79"/>
  <c r="G15" i="49" s="1"/>
  <c r="T78" i="30"/>
  <c r="G29" i="49"/>
  <c r="G22"/>
  <c r="G23"/>
  <c r="T117" i="30"/>
  <c r="T116"/>
  <c r="T115"/>
  <c r="T114"/>
  <c r="T61"/>
  <c r="G28" i="49" s="1"/>
  <c r="T60" i="30"/>
  <c r="W42"/>
  <c r="H42"/>
  <c r="C21" i="49" s="1"/>
  <c r="T41" i="30"/>
  <c r="T40"/>
  <c r="T42" s="1"/>
  <c r="G21" i="49" s="1"/>
  <c r="G67" i="59" l="1"/>
  <c r="E106"/>
  <c r="E1" s="1"/>
  <c r="C106"/>
  <c r="C1" s="1"/>
  <c r="K30" i="37"/>
  <c r="I30" i="49"/>
  <c r="H72" i="59"/>
  <c r="E27" i="49"/>
  <c r="G28" i="59"/>
  <c r="H125"/>
  <c r="H130" s="1"/>
  <c r="E12" i="49" s="1"/>
  <c r="G15" i="37" s="1"/>
  <c r="S45" i="59"/>
  <c r="S27"/>
  <c r="G21"/>
  <c r="G27"/>
  <c r="S28"/>
  <c r="T42"/>
  <c r="T43" s="1"/>
  <c r="I20" i="49" s="1"/>
  <c r="T72" i="59"/>
  <c r="H43"/>
  <c r="E20" i="49" s="1"/>
  <c r="H118" i="59"/>
  <c r="E11" i="49" s="1"/>
  <c r="T125" i="59"/>
  <c r="O106"/>
  <c r="O1" s="1"/>
  <c r="T118"/>
  <c r="I11" i="49" s="1"/>
  <c r="E30" l="1"/>
  <c r="G30" i="37"/>
  <c r="S106" i="59"/>
  <c r="S1" s="1"/>
  <c r="G106"/>
  <c r="G1" s="1"/>
  <c r="I21" i="49"/>
  <c r="H60" i="30" l="1"/>
  <c r="H61"/>
  <c r="C28" i="49"/>
  <c r="L38"/>
  <c r="Z38" i="30"/>
  <c r="AA38" s="1"/>
  <c r="AA37" s="1"/>
  <c r="I24" i="3"/>
  <c r="F20" i="14"/>
  <c r="F20" i="11"/>
  <c r="W37" i="30" l="1"/>
  <c r="W68"/>
  <c r="W73" s="1"/>
  <c r="T70" s="1"/>
  <c r="W38"/>
  <c r="T94"/>
  <c r="T89" s="1"/>
  <c r="T93"/>
  <c r="T69" s="1"/>
  <c r="T97"/>
  <c r="T95"/>
  <c r="T101" s="1"/>
  <c r="W43" l="1"/>
  <c r="T39" s="1"/>
  <c r="G16" i="49"/>
  <c r="Q54" i="30"/>
  <c r="T37"/>
  <c r="T111" s="1"/>
  <c r="T30"/>
  <c r="T112" s="1"/>
  <c r="T17"/>
  <c r="T113" s="1"/>
  <c r="L49" i="11"/>
  <c r="T118" i="30" l="1"/>
  <c r="G11" i="49" s="1"/>
  <c r="Q50" i="30"/>
  <c r="E54" l="1"/>
  <c r="C54"/>
  <c r="C50" s="1"/>
  <c r="G32" i="22"/>
  <c r="G33"/>
  <c r="E50" i="30" l="1"/>
  <c r="G54"/>
  <c r="H54" s="1"/>
  <c r="H79" l="1"/>
  <c r="H78"/>
  <c r="H139" l="1"/>
  <c r="H126"/>
  <c r="C29" i="49"/>
  <c r="C22"/>
  <c r="C16"/>
  <c r="C15"/>
  <c r="C23"/>
  <c r="H116" i="30"/>
  <c r="H117"/>
  <c r="H115"/>
  <c r="H114"/>
  <c r="H37" l="1"/>
  <c r="H111" s="1"/>
  <c r="H30"/>
  <c r="H112" s="1"/>
  <c r="H17"/>
  <c r="H113" s="1"/>
  <c r="H95"/>
  <c r="H101" s="1"/>
  <c r="H94"/>
  <c r="H89" s="1"/>
  <c r="H97"/>
  <c r="H93"/>
  <c r="H69" s="1"/>
  <c r="Q100"/>
  <c r="O100"/>
  <c r="E100"/>
  <c r="C100"/>
  <c r="Q91"/>
  <c r="O91"/>
  <c r="E91"/>
  <c r="C91"/>
  <c r="Q88"/>
  <c r="O88"/>
  <c r="E88"/>
  <c r="C88"/>
  <c r="Q85"/>
  <c r="O85"/>
  <c r="E85"/>
  <c r="C85"/>
  <c r="Q77"/>
  <c r="O77"/>
  <c r="E77"/>
  <c r="C77"/>
  <c r="Q74"/>
  <c r="O74"/>
  <c r="E74"/>
  <c r="C74"/>
  <c r="Q68"/>
  <c r="O68"/>
  <c r="E68"/>
  <c r="C68"/>
  <c r="Q67"/>
  <c r="O67"/>
  <c r="E67"/>
  <c r="C67"/>
  <c r="Q63"/>
  <c r="O63"/>
  <c r="E63"/>
  <c r="C63"/>
  <c r="Q59"/>
  <c r="O59"/>
  <c r="E59"/>
  <c r="C59"/>
  <c r="Q57"/>
  <c r="O57"/>
  <c r="E57"/>
  <c r="C57"/>
  <c r="Q56"/>
  <c r="O56"/>
  <c r="E56"/>
  <c r="C56"/>
  <c r="C10"/>
  <c r="E10"/>
  <c r="O10"/>
  <c r="Q10"/>
  <c r="C11"/>
  <c r="E11"/>
  <c r="O11"/>
  <c r="Q11"/>
  <c r="C12"/>
  <c r="E12"/>
  <c r="O12"/>
  <c r="Q12"/>
  <c r="C16"/>
  <c r="E16"/>
  <c r="O16"/>
  <c r="Q16"/>
  <c r="C21"/>
  <c r="E21"/>
  <c r="O21"/>
  <c r="Q21"/>
  <c r="C23"/>
  <c r="E23"/>
  <c r="O23"/>
  <c r="Q23"/>
  <c r="C26"/>
  <c r="E26"/>
  <c r="O26"/>
  <c r="Q26"/>
  <c r="C27"/>
  <c r="E27"/>
  <c r="O27"/>
  <c r="Q27"/>
  <c r="C28"/>
  <c r="E28"/>
  <c r="O28"/>
  <c r="Q28"/>
  <c r="C29"/>
  <c r="E29"/>
  <c r="O29"/>
  <c r="Q29"/>
  <c r="C36"/>
  <c r="E36"/>
  <c r="O36"/>
  <c r="Q36"/>
  <c r="C45"/>
  <c r="E45"/>
  <c r="O45"/>
  <c r="Q45"/>
  <c r="C46"/>
  <c r="E46"/>
  <c r="O46"/>
  <c r="Q46"/>
  <c r="Q5"/>
  <c r="E5"/>
  <c r="C5"/>
  <c r="Q9"/>
  <c r="G33" i="49" s="1"/>
  <c r="I36" i="37" s="1"/>
  <c r="O9" i="30"/>
  <c r="G37" i="49" s="1"/>
  <c r="E9" i="30"/>
  <c r="C33" i="49" s="1"/>
  <c r="E36" i="37" s="1"/>
  <c r="C9" i="30"/>
  <c r="C37" i="49" s="1"/>
  <c r="R15" i="24"/>
  <c r="N10"/>
  <c r="T102" i="59" s="1"/>
  <c r="T23" s="1"/>
  <c r="T24" s="1"/>
  <c r="T127" s="1"/>
  <c r="T130" s="1"/>
  <c r="I12" i="49" s="1"/>
  <c r="K15" i="37" s="1"/>
  <c r="L19" i="24"/>
  <c r="B13"/>
  <c r="P37"/>
  <c r="T103" i="30" s="1"/>
  <c r="T64" s="1"/>
  <c r="N37" i="24"/>
  <c r="B40"/>
  <c r="P9" i="23"/>
  <c r="T102" i="30" l="1"/>
  <c r="T23" s="1"/>
  <c r="P44" i="14"/>
  <c r="L37" i="49"/>
  <c r="H118" i="30"/>
  <c r="C11" i="49" s="1"/>
  <c r="E106" i="30"/>
  <c r="E1" s="1"/>
  <c r="S57"/>
  <c r="T57" s="1"/>
  <c r="S77"/>
  <c r="T80" s="1"/>
  <c r="S100"/>
  <c r="S36"/>
  <c r="T43" s="1"/>
  <c r="S28"/>
  <c r="S26"/>
  <c r="T26" s="1"/>
  <c r="T128" s="1"/>
  <c r="S16"/>
  <c r="T19" s="1"/>
  <c r="T124" s="1"/>
  <c r="G57"/>
  <c r="H57" s="1"/>
  <c r="G59"/>
  <c r="G46"/>
  <c r="H46" s="1"/>
  <c r="H129" s="1"/>
  <c r="G63"/>
  <c r="G68"/>
  <c r="G88"/>
  <c r="G91"/>
  <c r="G100"/>
  <c r="G45"/>
  <c r="S45"/>
  <c r="G21"/>
  <c r="G16"/>
  <c r="H19" s="1"/>
  <c r="H124" s="1"/>
  <c r="Q106"/>
  <c r="Q1" s="1"/>
  <c r="S12"/>
  <c r="T14" s="1"/>
  <c r="T123" s="1"/>
  <c r="G56"/>
  <c r="H56" s="1"/>
  <c r="H136" s="1"/>
  <c r="G77"/>
  <c r="S67"/>
  <c r="T67" s="1"/>
  <c r="T139" s="1"/>
  <c r="S74"/>
  <c r="T75" s="1"/>
  <c r="T71" s="1"/>
  <c r="S88"/>
  <c r="G10"/>
  <c r="H10" s="1"/>
  <c r="H122" s="1"/>
  <c r="C106"/>
  <c r="C1" s="1"/>
  <c r="G85"/>
  <c r="H86" s="1"/>
  <c r="H96" s="1"/>
  <c r="S56"/>
  <c r="T56" s="1"/>
  <c r="T136" s="1"/>
  <c r="G67"/>
  <c r="S85"/>
  <c r="T86" s="1"/>
  <c r="T96" s="1"/>
  <c r="S10"/>
  <c r="T10" s="1"/>
  <c r="T122" s="1"/>
  <c r="S59"/>
  <c r="T59" s="1"/>
  <c r="T138" s="1"/>
  <c r="S63"/>
  <c r="T65" s="1"/>
  <c r="G74"/>
  <c r="H75" s="1"/>
  <c r="H71" s="1"/>
  <c r="S91"/>
  <c r="G28"/>
  <c r="G26"/>
  <c r="H26" s="1"/>
  <c r="H128" s="1"/>
  <c r="S68"/>
  <c r="G50"/>
  <c r="H52" s="1"/>
  <c r="G27"/>
  <c r="G9"/>
  <c r="H9" s="1"/>
  <c r="S9"/>
  <c r="S27"/>
  <c r="S46"/>
  <c r="T46" s="1"/>
  <c r="T129" s="1"/>
  <c r="G36"/>
  <c r="S21"/>
  <c r="T21" s="1"/>
  <c r="T126" s="1"/>
  <c r="G12"/>
  <c r="H14" s="1"/>
  <c r="H123" s="1"/>
  <c r="G29"/>
  <c r="H34" s="1"/>
  <c r="G23"/>
  <c r="H23" s="1"/>
  <c r="G11"/>
  <c r="H11" s="1"/>
  <c r="S29"/>
  <c r="T34" s="1"/>
  <c r="S23"/>
  <c r="T24" s="1"/>
  <c r="T127" s="1"/>
  <c r="S11"/>
  <c r="T11" s="1"/>
  <c r="T72" l="1"/>
  <c r="T125"/>
  <c r="H72"/>
  <c r="C27" i="49"/>
  <c r="G20"/>
  <c r="T130" i="30"/>
  <c r="G12" i="49" s="1"/>
  <c r="I15" i="37" s="1"/>
  <c r="H59" i="30"/>
  <c r="H138" s="1"/>
  <c r="H43"/>
  <c r="C20" i="49" s="1"/>
  <c r="C24" s="1"/>
  <c r="T9" i="30"/>
  <c r="H80"/>
  <c r="G106"/>
  <c r="G1" s="1"/>
  <c r="C30" i="49" l="1"/>
  <c r="E30" i="37"/>
  <c r="L12" i="23" l="1"/>
  <c r="H102" i="59" s="1"/>
  <c r="R20" i="23"/>
  <c r="P17"/>
  <c r="P39"/>
  <c r="N39"/>
  <c r="H103" i="30" s="1"/>
  <c r="H64" s="1"/>
  <c r="H65" s="1"/>
  <c r="H125" s="1"/>
  <c r="H130" s="1"/>
  <c r="C12" i="49" s="1"/>
  <c r="E15" i="37" s="1"/>
  <c r="L39" i="23"/>
  <c r="D15" i="57"/>
  <c r="B15"/>
  <c r="P44" i="22"/>
  <c r="L366" i="29" s="1"/>
  <c r="N44" i="22"/>
  <c r="J366" i="29" s="1"/>
  <c r="E44" i="22"/>
  <c r="H366" i="29" s="1"/>
  <c r="C44" i="22"/>
  <c r="E25"/>
  <c r="K9" i="56"/>
  <c r="K17" s="1"/>
  <c r="K22" s="1"/>
  <c r="I9"/>
  <c r="I17" s="1"/>
  <c r="I22" s="1"/>
  <c r="I31" s="1"/>
  <c r="I33" s="1"/>
  <c r="I36" s="1"/>
  <c r="K29"/>
  <c r="M13"/>
  <c r="G13"/>
  <c r="D4" i="57"/>
  <c r="B4"/>
  <c r="N44" i="11" l="1"/>
  <c r="H102" i="30"/>
  <c r="F317" i="29"/>
  <c r="F366"/>
  <c r="R58" i="23"/>
  <c r="T92" i="30"/>
  <c r="K31" i="56"/>
  <c r="K33" s="1"/>
  <c r="H319" i="29" l="1"/>
  <c r="F319"/>
  <c r="D53" i="6" s="1"/>
  <c r="K36" i="56"/>
  <c r="J8" i="57" s="1"/>
  <c r="T92" i="59"/>
  <c r="G9" i="49"/>
  <c r="T98" i="30"/>
  <c r="T140" s="1"/>
  <c r="R21" i="11"/>
  <c r="L20"/>
  <c r="L20" i="14"/>
  <c r="D14"/>
  <c r="D13"/>
  <c r="F14"/>
  <c r="F13"/>
  <c r="H14"/>
  <c r="H13"/>
  <c r="J14"/>
  <c r="J13"/>
  <c r="L14"/>
  <c r="L13"/>
  <c r="N14"/>
  <c r="N13"/>
  <c r="P14"/>
  <c r="P13"/>
  <c r="R14"/>
  <c r="R13"/>
  <c r="T14"/>
  <c r="L14" i="57"/>
  <c r="L13"/>
  <c r="F13"/>
  <c r="J12"/>
  <c r="L12" s="1"/>
  <c r="F12"/>
  <c r="J11"/>
  <c r="J4"/>
  <c r="H4"/>
  <c r="J15" l="1"/>
  <c r="J16"/>
  <c r="I9" i="49"/>
  <c r="T98" i="59"/>
  <c r="T140" s="1"/>
  <c r="T141" s="1"/>
  <c r="I13" i="49" s="1"/>
  <c r="K16" i="37" s="1"/>
  <c r="R9" i="24"/>
  <c r="R22" s="1"/>
  <c r="H8" i="57"/>
  <c r="R36" i="24" s="1"/>
  <c r="H15" i="57"/>
  <c r="F15"/>
  <c r="T106" i="59" l="1"/>
  <c r="T1" s="1"/>
  <c r="H16" i="57"/>
  <c r="L8"/>
  <c r="L39" i="56"/>
  <c r="G35"/>
  <c r="G32"/>
  <c r="K30"/>
  <c r="I30"/>
  <c r="E29"/>
  <c r="C29"/>
  <c r="G28"/>
  <c r="M27"/>
  <c r="G27"/>
  <c r="G26"/>
  <c r="G25"/>
  <c r="G24"/>
  <c r="G18"/>
  <c r="G16"/>
  <c r="G14"/>
  <c r="E9"/>
  <c r="E17" s="1"/>
  <c r="E22" s="1"/>
  <c r="G8"/>
  <c r="G7"/>
  <c r="K4"/>
  <c r="I4"/>
  <c r="O20" i="55"/>
  <c r="G29" i="56" l="1"/>
  <c r="I20" i="55"/>
  <c r="M35" i="56"/>
  <c r="M32"/>
  <c r="M28"/>
  <c r="M26"/>
  <c r="M25"/>
  <c r="M29"/>
  <c r="M24"/>
  <c r="M18"/>
  <c r="M16"/>
  <c r="M14"/>
  <c r="M8"/>
  <c r="M7"/>
  <c r="M9"/>
  <c r="G9"/>
  <c r="AA16" i="45" l="1"/>
  <c r="E31" i="56"/>
  <c r="G17"/>
  <c r="M17"/>
  <c r="R15" i="14"/>
  <c r="P15"/>
  <c r="N15"/>
  <c r="L15"/>
  <c r="J15"/>
  <c r="H15"/>
  <c r="F15"/>
  <c r="D15"/>
  <c r="O20" i="54" l="1"/>
  <c r="O12"/>
  <c r="G12" i="37"/>
  <c r="AA18" i="45"/>
  <c r="M22" i="56"/>
  <c r="C31"/>
  <c r="G22"/>
  <c r="E33"/>
  <c r="H92" i="59" s="1"/>
  <c r="B7" i="28"/>
  <c r="O34" i="54" l="1"/>
  <c r="R13" i="11"/>
  <c r="E9" i="49"/>
  <c r="H98" i="59"/>
  <c r="H140" s="1"/>
  <c r="H141" s="1"/>
  <c r="E13" i="49" s="1"/>
  <c r="G16" i="37" s="1"/>
  <c r="Y16" i="45"/>
  <c r="M31" i="56"/>
  <c r="C33"/>
  <c r="G31"/>
  <c r="E36"/>
  <c r="G51" i="28"/>
  <c r="G50"/>
  <c r="E50"/>
  <c r="C51" s="1"/>
  <c r="E51" s="1"/>
  <c r="C52" s="1"/>
  <c r="E52" s="1"/>
  <c r="D52"/>
  <c r="G52" s="1"/>
  <c r="G53" l="1"/>
  <c r="O25" i="54"/>
  <c r="K39" i="56"/>
  <c r="D8" i="57"/>
  <c r="F472" i="29"/>
  <c r="F474" s="1"/>
  <c r="D54" i="6" s="1"/>
  <c r="H92" i="30"/>
  <c r="AA19" i="45"/>
  <c r="K12" i="37"/>
  <c r="Y18" i="45"/>
  <c r="M33" i="56"/>
  <c r="C36"/>
  <c r="B8" i="57" s="1"/>
  <c r="G33" i="56"/>
  <c r="E12" i="37"/>
  <c r="P11" i="23" l="1"/>
  <c r="D16" i="57"/>
  <c r="C9" i="49"/>
  <c r="H98" i="30"/>
  <c r="H140" s="1"/>
  <c r="H141" s="1"/>
  <c r="C13" i="49" s="1"/>
  <c r="E16" i="37" s="1"/>
  <c r="P38" i="23"/>
  <c r="B16" i="57"/>
  <c r="F8"/>
  <c r="AA22" i="45"/>
  <c r="Y19"/>
  <c r="C39" i="56"/>
  <c r="G39" s="1"/>
  <c r="G36"/>
  <c r="D31" i="28"/>
  <c r="D32" s="1"/>
  <c r="D33" s="1"/>
  <c r="D30"/>
  <c r="G30" s="1"/>
  <c r="G29"/>
  <c r="G28"/>
  <c r="E28"/>
  <c r="C29" s="1"/>
  <c r="E29" s="1"/>
  <c r="C30" s="1"/>
  <c r="G31" l="1"/>
  <c r="H106" i="30"/>
  <c r="H1" s="1"/>
  <c r="F16" i="57"/>
  <c r="C17" i="49"/>
  <c r="T13" i="14"/>
  <c r="T15" s="1"/>
  <c r="I12" i="37"/>
  <c r="R43" i="11"/>
  <c r="M36" i="56"/>
  <c r="I39"/>
  <c r="M39" s="1"/>
  <c r="G33" i="28"/>
  <c r="D34"/>
  <c r="G32"/>
  <c r="E30"/>
  <c r="C31" s="1"/>
  <c r="E31" s="1"/>
  <c r="C32" s="1"/>
  <c r="E32" s="1"/>
  <c r="C33" s="1"/>
  <c r="E33" s="1"/>
  <c r="C34" s="1"/>
  <c r="M3"/>
  <c r="L3"/>
  <c r="J3"/>
  <c r="I3"/>
  <c r="I6"/>
  <c r="I17"/>
  <c r="G18"/>
  <c r="L18" s="1"/>
  <c r="G17"/>
  <c r="J23"/>
  <c r="M23"/>
  <c r="M19"/>
  <c r="J19"/>
  <c r="M11"/>
  <c r="J11"/>
  <c r="I22"/>
  <c r="I23" s="1"/>
  <c r="I18"/>
  <c r="I7"/>
  <c r="I8"/>
  <c r="I9"/>
  <c r="G22"/>
  <c r="G23" s="1"/>
  <c r="G7"/>
  <c r="L7" s="1"/>
  <c r="G8"/>
  <c r="L8" s="1"/>
  <c r="G9"/>
  <c r="L9" s="1"/>
  <c r="G6"/>
  <c r="L6" s="1"/>
  <c r="C23"/>
  <c r="D23"/>
  <c r="E23"/>
  <c r="F23"/>
  <c r="B23"/>
  <c r="F19"/>
  <c r="E19"/>
  <c r="E24" s="1"/>
  <c r="D19"/>
  <c r="C19"/>
  <c r="C24" s="1"/>
  <c r="B19"/>
  <c r="C11"/>
  <c r="D11"/>
  <c r="E11"/>
  <c r="F11"/>
  <c r="M24" l="1"/>
  <c r="O39" i="54"/>
  <c r="E21" i="55"/>
  <c r="I10"/>
  <c r="G19" i="28"/>
  <c r="B24"/>
  <c r="D35"/>
  <c r="G34"/>
  <c r="E34"/>
  <c r="C35" s="1"/>
  <c r="I19"/>
  <c r="I24" s="1"/>
  <c r="J24"/>
  <c r="D24"/>
  <c r="F24"/>
  <c r="L22"/>
  <c r="L23" s="1"/>
  <c r="L17"/>
  <c r="L19" s="1"/>
  <c r="G24"/>
  <c r="O42" i="54" l="1"/>
  <c r="Y22" i="45"/>
  <c r="I21" i="55"/>
  <c r="G35" i="28"/>
  <c r="D36"/>
  <c r="E35"/>
  <c r="C36" s="1"/>
  <c r="L24"/>
  <c r="T43" i="14" l="1"/>
  <c r="O27" i="55"/>
  <c r="G36" i="28"/>
  <c r="G37" s="1"/>
  <c r="D39"/>
  <c r="O10" i="55"/>
  <c r="O45" i="54"/>
  <c r="K21" i="55"/>
  <c r="E36" i="28"/>
  <c r="L49" i="14"/>
  <c r="R37" i="24"/>
  <c r="T44" i="14" s="1"/>
  <c r="R44" i="11"/>
  <c r="E30" i="8"/>
  <c r="G25" i="39"/>
  <c r="E25"/>
  <c r="R41" i="22"/>
  <c r="G42"/>
  <c r="G29"/>
  <c r="G30"/>
  <c r="G31"/>
  <c r="G34"/>
  <c r="G35"/>
  <c r="G36"/>
  <c r="G28"/>
  <c r="G20"/>
  <c r="P24" i="23"/>
  <c r="P31"/>
  <c r="R36" i="11" s="1"/>
  <c r="G39" i="28" l="1"/>
  <c r="D40"/>
  <c r="E39"/>
  <c r="C40" s="1"/>
  <c r="O47" i="54"/>
  <c r="O24" i="55"/>
  <c r="O21"/>
  <c r="T34" i="14"/>
  <c r="T28"/>
  <c r="R36"/>
  <c r="R35"/>
  <c r="R34"/>
  <c r="R33"/>
  <c r="R28"/>
  <c r="P36"/>
  <c r="P35"/>
  <c r="P34"/>
  <c r="P33"/>
  <c r="P28"/>
  <c r="N36"/>
  <c r="N35"/>
  <c r="N34"/>
  <c r="N33"/>
  <c r="N29"/>
  <c r="N28"/>
  <c r="L36"/>
  <c r="L34"/>
  <c r="L33"/>
  <c r="L29"/>
  <c r="L28"/>
  <c r="J36"/>
  <c r="J35"/>
  <c r="J34"/>
  <c r="J33"/>
  <c r="J29"/>
  <c r="J28"/>
  <c r="H36"/>
  <c r="H35"/>
  <c r="H34"/>
  <c r="H33"/>
  <c r="H29"/>
  <c r="H28"/>
  <c r="F36"/>
  <c r="F34"/>
  <c r="F33"/>
  <c r="F29"/>
  <c r="F28"/>
  <c r="D36"/>
  <c r="D35"/>
  <c r="D34"/>
  <c r="D29"/>
  <c r="D28"/>
  <c r="R34" i="11"/>
  <c r="R28"/>
  <c r="P36"/>
  <c r="P35"/>
  <c r="P34"/>
  <c r="P33"/>
  <c r="P28"/>
  <c r="N36"/>
  <c r="N35"/>
  <c r="N34"/>
  <c r="N33"/>
  <c r="N28"/>
  <c r="L36"/>
  <c r="L34"/>
  <c r="L33"/>
  <c r="L29"/>
  <c r="L28"/>
  <c r="J36"/>
  <c r="J35"/>
  <c r="J34"/>
  <c r="J33"/>
  <c r="J29"/>
  <c r="J28"/>
  <c r="H36"/>
  <c r="H35"/>
  <c r="H34"/>
  <c r="H33"/>
  <c r="H29"/>
  <c r="H28"/>
  <c r="F36"/>
  <c r="F34"/>
  <c r="F33"/>
  <c r="F29"/>
  <c r="F28"/>
  <c r="D36"/>
  <c r="D35"/>
  <c r="D34"/>
  <c r="D29"/>
  <c r="D28"/>
  <c r="F30" l="1"/>
  <c r="L30" i="14"/>
  <c r="E40" i="28"/>
  <c r="C41" s="1"/>
  <c r="D30" i="14"/>
  <c r="F30"/>
  <c r="J37" i="11"/>
  <c r="J37" i="14"/>
  <c r="N37"/>
  <c r="R37"/>
  <c r="D41" i="28"/>
  <c r="G40"/>
  <c r="J30" i="11"/>
  <c r="N37"/>
  <c r="J30" i="14"/>
  <c r="N30"/>
  <c r="H37"/>
  <c r="P37"/>
  <c r="H30"/>
  <c r="D30" i="11"/>
  <c r="H37"/>
  <c r="L30"/>
  <c r="H30"/>
  <c r="P37"/>
  <c r="T34"/>
  <c r="T36"/>
  <c r="T28"/>
  <c r="V34" i="14"/>
  <c r="V28"/>
  <c r="P12" i="23"/>
  <c r="N12"/>
  <c r="L25"/>
  <c r="N29" i="11" s="1"/>
  <c r="R29" i="24"/>
  <c r="R23"/>
  <c r="T29" i="14" s="1"/>
  <c r="T30" s="1"/>
  <c r="P23" i="24"/>
  <c r="R29" i="14" s="1"/>
  <c r="R30" s="1"/>
  <c r="J28" i="24"/>
  <c r="L35" i="14" s="1"/>
  <c r="L37" s="1"/>
  <c r="D28" i="24"/>
  <c r="B26"/>
  <c r="T22"/>
  <c r="X22" s="1"/>
  <c r="L20"/>
  <c r="R35" i="23"/>
  <c r="J30"/>
  <c r="L35" i="11" s="1"/>
  <c r="L37" s="1"/>
  <c r="D30" i="23"/>
  <c r="F35" i="11" s="1"/>
  <c r="B28" i="23"/>
  <c r="D33" i="11" s="1"/>
  <c r="D37" s="1"/>
  <c r="R31" i="23"/>
  <c r="R29"/>
  <c r="P28" l="1"/>
  <c r="R33" i="11" s="1"/>
  <c r="W34"/>
  <c r="N25" i="23"/>
  <c r="P29" i="11" s="1"/>
  <c r="P30" s="1"/>
  <c r="H103" i="59"/>
  <c r="H106" s="1"/>
  <c r="H1" s="1"/>
  <c r="D42" i="28"/>
  <c r="G41"/>
  <c r="L30" i="24"/>
  <c r="L52" s="1"/>
  <c r="N26" i="14"/>
  <c r="N38" s="1"/>
  <c r="N41" s="1"/>
  <c r="P25" i="23"/>
  <c r="R29" i="11" s="1"/>
  <c r="R30" s="1"/>
  <c r="E41" i="28"/>
  <c r="C42" s="1"/>
  <c r="T29" i="11"/>
  <c r="T30" s="1"/>
  <c r="F35" i="14"/>
  <c r="F37" s="1"/>
  <c r="T29" i="24"/>
  <c r="X29" s="1"/>
  <c r="T36" i="14"/>
  <c r="V36" s="1"/>
  <c r="W36" i="11"/>
  <c r="R26" i="24"/>
  <c r="T33" i="14" s="1"/>
  <c r="D33"/>
  <c r="T33" i="11"/>
  <c r="P30" i="23"/>
  <c r="R35" i="11" s="1"/>
  <c r="N30"/>
  <c r="R28" i="24"/>
  <c r="R28" i="23"/>
  <c r="R25" l="1"/>
  <c r="W29" i="11" s="1"/>
  <c r="T26" i="24"/>
  <c r="X26" s="1"/>
  <c r="E42" i="28"/>
  <c r="C43" s="1"/>
  <c r="D43"/>
  <c r="G42"/>
  <c r="W33" i="11"/>
  <c r="T28" i="24"/>
  <c r="X28" s="1"/>
  <c r="T35" i="14"/>
  <c r="V35" s="1"/>
  <c r="D37"/>
  <c r="V33"/>
  <c r="F37" i="11"/>
  <c r="R30" i="23"/>
  <c r="R37" i="11"/>
  <c r="D44" i="28" l="1"/>
  <c r="G43"/>
  <c r="E43"/>
  <c r="C44" s="1"/>
  <c r="E44" s="1"/>
  <c r="C45" s="1"/>
  <c r="T37" i="14"/>
  <c r="V37"/>
  <c r="T35" i="11"/>
  <c r="R41"/>
  <c r="P41"/>
  <c r="N41"/>
  <c r="L41"/>
  <c r="J41"/>
  <c r="H41"/>
  <c r="F41"/>
  <c r="D41"/>
  <c r="T33" i="24"/>
  <c r="X33" s="1"/>
  <c r="D45" i="28" l="1"/>
  <c r="E45" s="1"/>
  <c r="C46" s="1"/>
  <c r="G44"/>
  <c r="W35" i="11"/>
  <c r="T37"/>
  <c r="R9" i="23"/>
  <c r="N5" i="22"/>
  <c r="O5" i="30" s="1"/>
  <c r="D46" i="28" l="1"/>
  <c r="G45"/>
  <c r="E46"/>
  <c r="C47" s="1"/>
  <c r="T41" i="11"/>
  <c r="G9" i="40"/>
  <c r="E9"/>
  <c r="G9" i="9"/>
  <c r="E9"/>
  <c r="D47" i="28" l="1"/>
  <c r="G47" s="1"/>
  <c r="G46"/>
  <c r="G39" i="10"/>
  <c r="G46"/>
  <c r="G48" i="28" l="1"/>
  <c r="G55"/>
  <c r="G57" s="1"/>
  <c r="B10"/>
  <c r="E47"/>
  <c r="G47" i="10"/>
  <c r="S29" i="45"/>
  <c r="B11" i="28" l="1"/>
  <c r="G10"/>
  <c r="I10"/>
  <c r="I11" s="1"/>
  <c r="T29" i="45"/>
  <c r="T26"/>
  <c r="Q26"/>
  <c r="P26"/>
  <c r="W20"/>
  <c r="AC20" s="1"/>
  <c r="V20"/>
  <c r="AB20" s="1"/>
  <c r="L10" i="28" l="1"/>
  <c r="L11" s="1"/>
  <c r="G11"/>
  <c r="S12" i="45"/>
  <c r="AB23"/>
  <c r="AC23"/>
  <c r="S10"/>
  <c r="W22" l="1"/>
  <c r="V22"/>
  <c r="W21"/>
  <c r="AC21" s="1"/>
  <c r="V21"/>
  <c r="AB21" s="1"/>
  <c r="T19"/>
  <c r="S19"/>
  <c r="T17"/>
  <c r="S17"/>
  <c r="Q19"/>
  <c r="Q17"/>
  <c r="P17"/>
  <c r="N19"/>
  <c r="M19"/>
  <c r="N17"/>
  <c r="M17"/>
  <c r="K19"/>
  <c r="J19"/>
  <c r="K17"/>
  <c r="J17"/>
  <c r="H19"/>
  <c r="G19"/>
  <c r="H17"/>
  <c r="G17"/>
  <c r="D19"/>
  <c r="E19"/>
  <c r="U25" i="35"/>
  <c r="T25"/>
  <c r="U22"/>
  <c r="T22"/>
  <c r="U16"/>
  <c r="W19" i="45" s="1"/>
  <c r="T16" i="35"/>
  <c r="U15"/>
  <c r="T15"/>
  <c r="U14"/>
  <c r="T14"/>
  <c r="U13"/>
  <c r="T13"/>
  <c r="U8"/>
  <c r="U9"/>
  <c r="U10"/>
  <c r="U7"/>
  <c r="T8"/>
  <c r="T9"/>
  <c r="T10"/>
  <c r="T7"/>
  <c r="V19" i="45" l="1"/>
  <c r="V17"/>
  <c r="W17"/>
  <c r="AC17" l="1"/>
  <c r="AB17"/>
  <c r="N26"/>
  <c r="N27" s="1"/>
  <c r="M26"/>
  <c r="M27" s="1"/>
  <c r="K26"/>
  <c r="J26"/>
  <c r="S26"/>
  <c r="H26"/>
  <c r="G26"/>
  <c r="E26"/>
  <c r="E11"/>
  <c r="E12"/>
  <c r="E13"/>
  <c r="N29"/>
  <c r="N30" s="1"/>
  <c r="M29"/>
  <c r="M30" s="1"/>
  <c r="N13"/>
  <c r="M13"/>
  <c r="N12"/>
  <c r="M12"/>
  <c r="N11"/>
  <c r="M11"/>
  <c r="N10"/>
  <c r="M10"/>
  <c r="U26" i="35"/>
  <c r="T26"/>
  <c r="R26"/>
  <c r="Q26"/>
  <c r="O26"/>
  <c r="N26"/>
  <c r="L26"/>
  <c r="K26"/>
  <c r="I26"/>
  <c r="H26"/>
  <c r="F26"/>
  <c r="E26"/>
  <c r="B26"/>
  <c r="L23"/>
  <c r="K23"/>
  <c r="L11"/>
  <c r="W26" i="45" l="1"/>
  <c r="M14"/>
  <c r="M16" s="1"/>
  <c r="M18" s="1"/>
  <c r="N14"/>
  <c r="N16" s="1"/>
  <c r="N18" s="1"/>
  <c r="U23" i="35" l="1"/>
  <c r="T23"/>
  <c r="R23"/>
  <c r="Q23"/>
  <c r="O23"/>
  <c r="N23"/>
  <c r="I23"/>
  <c r="H23"/>
  <c r="F23"/>
  <c r="E23"/>
  <c r="C23"/>
  <c r="B23"/>
  <c r="R11"/>
  <c r="O11"/>
  <c r="I11"/>
  <c r="F11"/>
  <c r="B11"/>
  <c r="K29" i="45"/>
  <c r="K30" s="1"/>
  <c r="J29"/>
  <c r="J30" s="1"/>
  <c r="K27"/>
  <c r="J27"/>
  <c r="K13"/>
  <c r="J13"/>
  <c r="K12"/>
  <c r="J12"/>
  <c r="K11"/>
  <c r="J11"/>
  <c r="K10"/>
  <c r="J10"/>
  <c r="H7"/>
  <c r="K7" s="1"/>
  <c r="N7" s="1"/>
  <c r="G7"/>
  <c r="P7" s="1"/>
  <c r="S7" s="1"/>
  <c r="V7" s="1"/>
  <c r="Q7" l="1"/>
  <c r="T7" s="1"/>
  <c r="W7" s="1"/>
  <c r="J7"/>
  <c r="M7" s="1"/>
  <c r="J14"/>
  <c r="J16" s="1"/>
  <c r="J18" s="1"/>
  <c r="K14"/>
  <c r="K16" s="1"/>
  <c r="K18" s="1"/>
  <c r="Q37" i="39" l="1"/>
  <c r="I26" i="10" l="1"/>
  <c r="K40" i="37"/>
  <c r="K39"/>
  <c r="I39"/>
  <c r="G40"/>
  <c r="G39"/>
  <c r="E40"/>
  <c r="E39"/>
  <c r="K32"/>
  <c r="I32"/>
  <c r="K31"/>
  <c r="K33" s="1"/>
  <c r="I31"/>
  <c r="G32"/>
  <c r="G31"/>
  <c r="E32"/>
  <c r="E31"/>
  <c r="K25"/>
  <c r="I25"/>
  <c r="K24"/>
  <c r="I24"/>
  <c r="K23"/>
  <c r="I23"/>
  <c r="G24"/>
  <c r="G25"/>
  <c r="G26"/>
  <c r="G23"/>
  <c r="E24"/>
  <c r="E25"/>
  <c r="E23"/>
  <c r="K19"/>
  <c r="I19"/>
  <c r="K18"/>
  <c r="I18"/>
  <c r="K17"/>
  <c r="I17"/>
  <c r="K14"/>
  <c r="I14"/>
  <c r="G17"/>
  <c r="G18"/>
  <c r="G19"/>
  <c r="G14"/>
  <c r="I23" i="49"/>
  <c r="K26" i="37" s="1"/>
  <c r="I26"/>
  <c r="E26"/>
  <c r="E19"/>
  <c r="E18"/>
  <c r="E17"/>
  <c r="E14"/>
  <c r="T50" i="14"/>
  <c r="R51"/>
  <c r="R50"/>
  <c r="R49"/>
  <c r="R48"/>
  <c r="P51"/>
  <c r="P50"/>
  <c r="P49"/>
  <c r="P48"/>
  <c r="N51"/>
  <c r="N50"/>
  <c r="N49"/>
  <c r="N48"/>
  <c r="L51"/>
  <c r="L50"/>
  <c r="L48"/>
  <c r="J51"/>
  <c r="J50"/>
  <c r="J49"/>
  <c r="J48"/>
  <c r="H51"/>
  <c r="H50"/>
  <c r="H49"/>
  <c r="H48"/>
  <c r="F51"/>
  <c r="F50"/>
  <c r="F49"/>
  <c r="F48"/>
  <c r="D51"/>
  <c r="D50"/>
  <c r="D49"/>
  <c r="D48"/>
  <c r="R43"/>
  <c r="P43"/>
  <c r="N44"/>
  <c r="N43"/>
  <c r="L44"/>
  <c r="L43"/>
  <c r="J44"/>
  <c r="J43"/>
  <c r="H44"/>
  <c r="H43"/>
  <c r="F44"/>
  <c r="F43"/>
  <c r="D44"/>
  <c r="D43"/>
  <c r="V14"/>
  <c r="T21"/>
  <c r="T19"/>
  <c r="R21"/>
  <c r="R20"/>
  <c r="R19"/>
  <c r="R18"/>
  <c r="P21"/>
  <c r="P20"/>
  <c r="P19"/>
  <c r="P18"/>
  <c r="N21"/>
  <c r="N20"/>
  <c r="N19"/>
  <c r="N18"/>
  <c r="L21"/>
  <c r="L19"/>
  <c r="L18"/>
  <c r="J21"/>
  <c r="J20"/>
  <c r="J19"/>
  <c r="J18"/>
  <c r="H21"/>
  <c r="H20"/>
  <c r="H19"/>
  <c r="H18"/>
  <c r="F21"/>
  <c r="F19"/>
  <c r="F18"/>
  <c r="D19"/>
  <c r="D20"/>
  <c r="D21"/>
  <c r="D18"/>
  <c r="V13"/>
  <c r="T11"/>
  <c r="R11"/>
  <c r="P11"/>
  <c r="N11"/>
  <c r="L11"/>
  <c r="J11"/>
  <c r="H11"/>
  <c r="F11"/>
  <c r="D11"/>
  <c r="P50" i="11"/>
  <c r="P49"/>
  <c r="P48"/>
  <c r="N50"/>
  <c r="N49"/>
  <c r="N48"/>
  <c r="L50"/>
  <c r="L48"/>
  <c r="J50"/>
  <c r="J49"/>
  <c r="J48"/>
  <c r="H50"/>
  <c r="H49"/>
  <c r="H48"/>
  <c r="F50"/>
  <c r="F49"/>
  <c r="F48"/>
  <c r="D50"/>
  <c r="D49"/>
  <c r="D48"/>
  <c r="P43"/>
  <c r="N43"/>
  <c r="L44"/>
  <c r="L43"/>
  <c r="J44"/>
  <c r="J43"/>
  <c r="H44"/>
  <c r="H43"/>
  <c r="F44"/>
  <c r="F43"/>
  <c r="D44"/>
  <c r="D43"/>
  <c r="R19"/>
  <c r="P21"/>
  <c r="P20"/>
  <c r="P19"/>
  <c r="P18"/>
  <c r="N21"/>
  <c r="N20"/>
  <c r="N19"/>
  <c r="N18"/>
  <c r="L21"/>
  <c r="L19"/>
  <c r="L18"/>
  <c r="J21"/>
  <c r="J20"/>
  <c r="J19"/>
  <c r="J18"/>
  <c r="H21"/>
  <c r="H20"/>
  <c r="H19"/>
  <c r="H18"/>
  <c r="F21"/>
  <c r="F19"/>
  <c r="F18"/>
  <c r="D21"/>
  <c r="D20"/>
  <c r="D19"/>
  <c r="D18"/>
  <c r="R14"/>
  <c r="P14"/>
  <c r="P13"/>
  <c r="N14"/>
  <c r="N13"/>
  <c r="L14"/>
  <c r="L13"/>
  <c r="J14"/>
  <c r="J13"/>
  <c r="H14"/>
  <c r="H13"/>
  <c r="F14"/>
  <c r="F13"/>
  <c r="D14"/>
  <c r="D13"/>
  <c r="R11"/>
  <c r="P11"/>
  <c r="N11"/>
  <c r="L11"/>
  <c r="J11"/>
  <c r="H11"/>
  <c r="F11"/>
  <c r="D11"/>
  <c r="G17" i="40"/>
  <c r="G16"/>
  <c r="G15"/>
  <c r="G14"/>
  <c r="E15"/>
  <c r="E16"/>
  <c r="E17"/>
  <c r="E14"/>
  <c r="G17" i="9"/>
  <c r="G16"/>
  <c r="G15"/>
  <c r="G14"/>
  <c r="E15"/>
  <c r="E16"/>
  <c r="I16" s="1"/>
  <c r="E17"/>
  <c r="E14"/>
  <c r="G32" i="39"/>
  <c r="G29"/>
  <c r="G24"/>
  <c r="G23"/>
  <c r="G22"/>
  <c r="G21"/>
  <c r="G18"/>
  <c r="G15"/>
  <c r="G14"/>
  <c r="G12"/>
  <c r="G11"/>
  <c r="E32"/>
  <c r="E29"/>
  <c r="E24"/>
  <c r="E23"/>
  <c r="E22"/>
  <c r="E21"/>
  <c r="E18"/>
  <c r="E15"/>
  <c r="E14"/>
  <c r="E12"/>
  <c r="E11"/>
  <c r="G12" i="8"/>
  <c r="G30"/>
  <c r="G27"/>
  <c r="G23"/>
  <c r="G22"/>
  <c r="G21"/>
  <c r="G20"/>
  <c r="G17"/>
  <c r="G14"/>
  <c r="G11"/>
  <c r="E27"/>
  <c r="E23"/>
  <c r="E21"/>
  <c r="E22"/>
  <c r="E20"/>
  <c r="E17"/>
  <c r="E14"/>
  <c r="E12"/>
  <c r="E11"/>
  <c r="O50" i="10"/>
  <c r="O49"/>
  <c r="I11"/>
  <c r="D45" i="14" l="1"/>
  <c r="H45"/>
  <c r="L45"/>
  <c r="G33" i="37"/>
  <c r="F45" i="11"/>
  <c r="J45"/>
  <c r="F45" i="14"/>
  <c r="J45"/>
  <c r="N45"/>
  <c r="E20" i="37"/>
  <c r="E33"/>
  <c r="F22" i="14"/>
  <c r="F23" s="1"/>
  <c r="D45" i="11"/>
  <c r="H45"/>
  <c r="L45"/>
  <c r="K27" i="37"/>
  <c r="F52" i="14"/>
  <c r="N22"/>
  <c r="N23" s="1"/>
  <c r="P22"/>
  <c r="P23" s="1"/>
  <c r="R22"/>
  <c r="R23" s="1"/>
  <c r="N52"/>
  <c r="P52"/>
  <c r="R52"/>
  <c r="D22"/>
  <c r="D23" s="1"/>
  <c r="H22"/>
  <c r="H23" s="1"/>
  <c r="J22"/>
  <c r="J23" s="1"/>
  <c r="L22"/>
  <c r="L23" s="1"/>
  <c r="D52"/>
  <c r="H52"/>
  <c r="J52"/>
  <c r="L52"/>
  <c r="N22" i="11"/>
  <c r="J51"/>
  <c r="J52" s="1"/>
  <c r="P51"/>
  <c r="V15" i="14"/>
  <c r="P22" i="11"/>
  <c r="F51"/>
  <c r="D15"/>
  <c r="H15"/>
  <c r="L15"/>
  <c r="P15"/>
  <c r="D22"/>
  <c r="F22"/>
  <c r="H22"/>
  <c r="J22"/>
  <c r="L22"/>
  <c r="D51"/>
  <c r="L51"/>
  <c r="L52" s="1"/>
  <c r="F52"/>
  <c r="W49" s="1"/>
  <c r="F15"/>
  <c r="J15"/>
  <c r="N15"/>
  <c r="N23" s="1"/>
  <c r="H51"/>
  <c r="H52" s="1"/>
  <c r="N51"/>
  <c r="R20"/>
  <c r="T20" s="1"/>
  <c r="E18" i="40"/>
  <c r="G18"/>
  <c r="E18" i="9"/>
  <c r="G18"/>
  <c r="G13" i="8"/>
  <c r="V21" i="14"/>
  <c r="V51"/>
  <c r="T20"/>
  <c r="Z18"/>
  <c r="V11"/>
  <c r="V19"/>
  <c r="V50"/>
  <c r="T49"/>
  <c r="V49" s="1"/>
  <c r="T11" i="11"/>
  <c r="T19"/>
  <c r="R49"/>
  <c r="T49" s="1"/>
  <c r="I17" i="40"/>
  <c r="E13" i="8"/>
  <c r="E26" i="39"/>
  <c r="G13"/>
  <c r="E13"/>
  <c r="O26" i="10"/>
  <c r="Y26" i="45"/>
  <c r="Z56" i="14"/>
  <c r="T50" i="11"/>
  <c r="T21"/>
  <c r="T14"/>
  <c r="G26" i="39"/>
  <c r="G24" i="8"/>
  <c r="E24"/>
  <c r="N53" i="14" l="1"/>
  <c r="D52" i="11"/>
  <c r="W51" s="1"/>
  <c r="P23"/>
  <c r="H23"/>
  <c r="AA26" i="45"/>
  <c r="AC26" s="1"/>
  <c r="F23" i="11"/>
  <c r="W20" s="1"/>
  <c r="D23"/>
  <c r="W19" s="1"/>
  <c r="J23"/>
  <c r="L23"/>
  <c r="V20" i="14"/>
  <c r="Z19"/>
  <c r="W21" i="11" l="1"/>
  <c r="I16" i="40"/>
  <c r="I15" i="10" l="1"/>
  <c r="I27" i="37" l="1"/>
  <c r="G27"/>
  <c r="E27"/>
  <c r="K41"/>
  <c r="G41"/>
  <c r="E41"/>
  <c r="E39" i="49"/>
  <c r="I37" i="39" l="1"/>
  <c r="E46" i="10"/>
  <c r="E47" s="1"/>
  <c r="E9" i="48"/>
  <c r="E10"/>
  <c r="E11"/>
  <c r="E12"/>
  <c r="E13"/>
  <c r="E14"/>
  <c r="E15"/>
  <c r="E16"/>
  <c r="E17"/>
  <c r="E18"/>
  <c r="E19"/>
  <c r="E20"/>
  <c r="E21"/>
  <c r="E8"/>
  <c r="C9"/>
  <c r="C10"/>
  <c r="C11"/>
  <c r="C12"/>
  <c r="C13"/>
  <c r="C14"/>
  <c r="C15"/>
  <c r="C16"/>
  <c r="C17"/>
  <c r="C18"/>
  <c r="C19"/>
  <c r="C20"/>
  <c r="C21"/>
  <c r="C8"/>
  <c r="I22"/>
  <c r="M22"/>
  <c r="O22"/>
  <c r="R22"/>
  <c r="V23"/>
  <c r="W23"/>
  <c r="V24"/>
  <c r="W24"/>
  <c r="E25"/>
  <c r="E33" s="1"/>
  <c r="G25"/>
  <c r="L25"/>
  <c r="O25"/>
  <c r="Q25" s="1"/>
  <c r="T25"/>
  <c r="V25"/>
  <c r="W25"/>
  <c r="Y25"/>
  <c r="Z25" s="1"/>
  <c r="G31"/>
  <c r="L31"/>
  <c r="Q31"/>
  <c r="T31"/>
  <c r="V31"/>
  <c r="W31"/>
  <c r="G32"/>
  <c r="L32"/>
  <c r="Q32"/>
  <c r="T32"/>
  <c r="V32"/>
  <c r="W32"/>
  <c r="C33"/>
  <c r="I33"/>
  <c r="M33"/>
  <c r="O33"/>
  <c r="R33"/>
  <c r="V34"/>
  <c r="W34"/>
  <c r="V35"/>
  <c r="W35"/>
  <c r="G36"/>
  <c r="L36"/>
  <c r="Q36"/>
  <c r="T36"/>
  <c r="V36"/>
  <c r="W36"/>
  <c r="G37"/>
  <c r="L37"/>
  <c r="Q37"/>
  <c r="T37"/>
  <c r="V37"/>
  <c r="W37"/>
  <c r="T43" i="24"/>
  <c r="X43" s="1"/>
  <c r="T42"/>
  <c r="T39"/>
  <c r="X39" s="1"/>
  <c r="T38"/>
  <c r="X38" s="1"/>
  <c r="V17"/>
  <c r="V19" s="1"/>
  <c r="T11"/>
  <c r="X11" s="1"/>
  <c r="T12"/>
  <c r="X12" s="1"/>
  <c r="T14"/>
  <c r="X14" s="1"/>
  <c r="T16"/>
  <c r="X16" s="1"/>
  <c r="T7"/>
  <c r="X7" s="1"/>
  <c r="W33" i="48" l="1"/>
  <c r="W22"/>
  <c r="V20" i="24"/>
  <c r="V30" s="1"/>
  <c r="X42"/>
  <c r="V44"/>
  <c r="V33" i="48"/>
  <c r="C22"/>
  <c r="B15" i="41" l="1"/>
  <c r="E16" i="39"/>
  <c r="E17" s="1"/>
  <c r="E19" s="1"/>
  <c r="E28" l="1"/>
  <c r="E30" l="1"/>
  <c r="AB19" i="45"/>
  <c r="O37" i="39"/>
  <c r="K40"/>
  <c r="E33" l="1"/>
  <c r="F54" i="24"/>
  <c r="P45" i="14"/>
  <c r="I28" i="38"/>
  <c r="K32" i="39" s="1"/>
  <c r="K28" i="38"/>
  <c r="M32" i="39" s="1"/>
  <c r="T10" i="24" l="1"/>
  <c r="X10" s="1"/>
  <c r="N23"/>
  <c r="P29" i="14" s="1"/>
  <c r="AB22" i="45"/>
  <c r="E11" i="40"/>
  <c r="E19" s="1"/>
  <c r="E36" i="39"/>
  <c r="K46" i="10"/>
  <c r="K7" i="38"/>
  <c r="M11" i="39" s="1"/>
  <c r="I25" i="38"/>
  <c r="K29" i="39" s="1"/>
  <c r="K28" i="4"/>
  <c r="K29"/>
  <c r="K27"/>
  <c r="T23" i="24" l="1"/>
  <c r="X23" s="1"/>
  <c r="P30" i="14"/>
  <c r="E38" i="39"/>
  <c r="J26" i="3"/>
  <c r="K26"/>
  <c r="I26"/>
  <c r="N29" s="1"/>
  <c r="V29" i="14" l="1"/>
  <c r="E40" i="39"/>
  <c r="M8"/>
  <c r="K8"/>
  <c r="G8"/>
  <c r="G7" i="40" s="1"/>
  <c r="M7" s="1"/>
  <c r="E8" i="39"/>
  <c r="E7" i="40" s="1"/>
  <c r="K7" s="1"/>
  <c r="I37" i="10"/>
  <c r="O31"/>
  <c r="O32"/>
  <c r="O33"/>
  <c r="O35"/>
  <c r="O36"/>
  <c r="I31"/>
  <c r="I32"/>
  <c r="I33"/>
  <c r="I36"/>
  <c r="V30" i="14" l="1"/>
  <c r="M46" i="10"/>
  <c r="M39"/>
  <c r="AA29" i="45" s="1"/>
  <c r="B15" i="21"/>
  <c r="D15"/>
  <c r="O52" i="10" l="1"/>
  <c r="M47"/>
  <c r="H14" i="41"/>
  <c r="K17" i="40" s="1"/>
  <c r="D15" i="41"/>
  <c r="H15"/>
  <c r="F58" i="23" l="1"/>
  <c r="B58"/>
  <c r="D58"/>
  <c r="P58"/>
  <c r="R41" i="24"/>
  <c r="D54"/>
  <c r="B54"/>
  <c r="R54"/>
  <c r="Z9"/>
  <c r="J17"/>
  <c r="J19" s="1"/>
  <c r="B17"/>
  <c r="O44"/>
  <c r="P17"/>
  <c r="P19" s="1"/>
  <c r="R16" i="23"/>
  <c r="R41"/>
  <c r="R45"/>
  <c r="R13"/>
  <c r="R14"/>
  <c r="N19"/>
  <c r="R12"/>
  <c r="P44"/>
  <c r="P44" i="11"/>
  <c r="P45" s="1"/>
  <c r="P52" s="1"/>
  <c r="G15" i="8"/>
  <c r="G16" s="1"/>
  <c r="G18" s="1"/>
  <c r="G26" s="1"/>
  <c r="G28" s="1"/>
  <c r="T11" i="23"/>
  <c r="U11" s="1"/>
  <c r="N22" l="1"/>
  <c r="N21"/>
  <c r="B20" i="24"/>
  <c r="B30" s="1"/>
  <c r="B52" s="1"/>
  <c r="B19"/>
  <c r="J20"/>
  <c r="P20"/>
  <c r="T41"/>
  <c r="G20" i="37"/>
  <c r="G35" s="1"/>
  <c r="G37" s="1"/>
  <c r="G31" i="8"/>
  <c r="R44" i="23"/>
  <c r="N47"/>
  <c r="D26" i="14" l="1"/>
  <c r="D38" s="1"/>
  <c r="D41" s="1"/>
  <c r="D53" s="1"/>
  <c r="Z49" s="1"/>
  <c r="P30" i="24"/>
  <c r="P52" s="1"/>
  <c r="R26" i="14"/>
  <c r="R38" s="1"/>
  <c r="R41" s="1"/>
  <c r="N32" i="23"/>
  <c r="N55" s="1"/>
  <c r="P26" i="11"/>
  <c r="P38" s="1"/>
  <c r="J30" i="24"/>
  <c r="J52" s="1"/>
  <c r="L26" i="14"/>
  <c r="L38" s="1"/>
  <c r="L41" s="1"/>
  <c r="L53" s="1"/>
  <c r="X41" i="24"/>
  <c r="G11" i="9"/>
  <c r="G19" s="1"/>
  <c r="R15" i="11"/>
  <c r="G1" i="37"/>
  <c r="G16" i="22"/>
  <c r="J11" i="41"/>
  <c r="J12"/>
  <c r="H11"/>
  <c r="H12"/>
  <c r="F11" i="21"/>
  <c r="F12"/>
  <c r="J11"/>
  <c r="M14" i="9" s="1"/>
  <c r="J12" i="21"/>
  <c r="M15" i="9" s="1"/>
  <c r="H11" i="21"/>
  <c r="K14" i="9" s="1"/>
  <c r="H12" i="21"/>
  <c r="K15" i="9" s="1"/>
  <c r="H13" i="21"/>
  <c r="K16" i="9" s="1"/>
  <c r="E15" i="8"/>
  <c r="E16" s="1"/>
  <c r="E18" s="1"/>
  <c r="E26" s="1"/>
  <c r="E28" s="1"/>
  <c r="C44" i="24"/>
  <c r="E44"/>
  <c r="G44"/>
  <c r="I44"/>
  <c r="K44"/>
  <c r="L44"/>
  <c r="M44"/>
  <c r="Q44"/>
  <c r="W44"/>
  <c r="Z33" i="14" l="1"/>
  <c r="K14" i="40"/>
  <c r="M15"/>
  <c r="M14"/>
  <c r="K15"/>
  <c r="L12" i="21"/>
  <c r="L11"/>
  <c r="G16" i="39"/>
  <c r="G17" s="1"/>
  <c r="G19" s="1"/>
  <c r="E31" i="8"/>
  <c r="E33" s="1"/>
  <c r="T13" i="11"/>
  <c r="T15" s="1"/>
  <c r="W9" i="22"/>
  <c r="V9"/>
  <c r="R44" i="14" l="1"/>
  <c r="R45" s="1"/>
  <c r="R53" s="1"/>
  <c r="T37" i="24"/>
  <c r="P44"/>
  <c r="G28" i="39"/>
  <c r="E11" i="9"/>
  <c r="E19" s="1"/>
  <c r="I33" i="8"/>
  <c r="R45" i="11"/>
  <c r="I31" i="8"/>
  <c r="I10" i="20"/>
  <c r="K14" i="8" s="1"/>
  <c r="X37" i="24" l="1"/>
  <c r="V44" i="14"/>
  <c r="G30" i="39"/>
  <c r="AC19" i="45"/>
  <c r="T43" i="11"/>
  <c r="I5" i="49"/>
  <c r="G5"/>
  <c r="K6" i="20"/>
  <c r="K6" i="38" s="1"/>
  <c r="I6" i="20"/>
  <c r="I6" i="38" s="1"/>
  <c r="E6"/>
  <c r="C6" i="20"/>
  <c r="C6" i="38" s="1"/>
  <c r="K4" i="20"/>
  <c r="I4"/>
  <c r="G8" i="8"/>
  <c r="E8"/>
  <c r="K8" l="1"/>
  <c r="E7" i="9"/>
  <c r="K7" s="1"/>
  <c r="M8" i="8"/>
  <c r="G7" i="9"/>
  <c r="M7" s="1"/>
  <c r="G33" i="39"/>
  <c r="K20" i="37"/>
  <c r="K35" s="1"/>
  <c r="K37" s="1"/>
  <c r="B4" i="21"/>
  <c r="H4" s="1"/>
  <c r="C4" i="38"/>
  <c r="I4" s="1"/>
  <c r="D4" i="21"/>
  <c r="C3" i="38"/>
  <c r="K1" i="37" l="1"/>
  <c r="G11" i="40"/>
  <c r="G19" s="1"/>
  <c r="I19" s="1"/>
  <c r="AC22" i="45"/>
  <c r="G36" i="39"/>
  <c r="E35" i="37"/>
  <c r="E37" s="1"/>
  <c r="E1" s="1"/>
  <c r="B4" i="41"/>
  <c r="H4" s="1"/>
  <c r="D4"/>
  <c r="J4" s="1"/>
  <c r="J4" i="21"/>
  <c r="E4" i="38"/>
  <c r="K4" s="1"/>
  <c r="I18" i="40"/>
  <c r="I19" i="9"/>
  <c r="I18"/>
  <c r="I11"/>
  <c r="O32" i="39"/>
  <c r="I33"/>
  <c r="I32"/>
  <c r="I30"/>
  <c r="I29"/>
  <c r="I28"/>
  <c r="I26"/>
  <c r="I25"/>
  <c r="I24"/>
  <c r="I23"/>
  <c r="I22"/>
  <c r="I21"/>
  <c r="I19"/>
  <c r="I18"/>
  <c r="I17"/>
  <c r="I16"/>
  <c r="I15"/>
  <c r="I14"/>
  <c r="I13"/>
  <c r="I12"/>
  <c r="I11"/>
  <c r="I30" i="8"/>
  <c r="I28"/>
  <c r="I27"/>
  <c r="I26"/>
  <c r="I23"/>
  <c r="I22"/>
  <c r="I21"/>
  <c r="I20"/>
  <c r="I18"/>
  <c r="I17"/>
  <c r="I16"/>
  <c r="I15"/>
  <c r="I14"/>
  <c r="I13"/>
  <c r="I12"/>
  <c r="I11"/>
  <c r="O45" i="10"/>
  <c r="O44"/>
  <c r="O43"/>
  <c r="O42"/>
  <c r="O38"/>
  <c r="O37"/>
  <c r="O30"/>
  <c r="O24"/>
  <c r="O23"/>
  <c r="O20"/>
  <c r="O19"/>
  <c r="O18"/>
  <c r="O15"/>
  <c r="O14"/>
  <c r="O12"/>
  <c r="O11"/>
  <c r="I45"/>
  <c r="I44"/>
  <c r="I43"/>
  <c r="I42"/>
  <c r="I38"/>
  <c r="I30"/>
  <c r="I25"/>
  <c r="I24"/>
  <c r="I23"/>
  <c r="I21"/>
  <c r="I20"/>
  <c r="I19"/>
  <c r="I14"/>
  <c r="I12"/>
  <c r="G38" i="39" l="1"/>
  <c r="I36"/>
  <c r="G40" l="1"/>
  <c r="I40" s="1"/>
  <c r="I38"/>
  <c r="R40" i="24" l="1"/>
  <c r="T48" i="14" l="1"/>
  <c r="T52" s="1"/>
  <c r="T40" i="24"/>
  <c r="V48" i="14" l="1"/>
  <c r="X40" i="24"/>
  <c r="V52" i="14" l="1"/>
  <c r="I39" i="49" l="1"/>
  <c r="H37"/>
  <c r="H32"/>
  <c r="F32"/>
  <c r="D32"/>
  <c r="U20" i="48"/>
  <c r="C22" i="38"/>
  <c r="C39" i="49" l="1"/>
  <c r="E29" i="45" l="1"/>
  <c r="F29"/>
  <c r="G29"/>
  <c r="H29"/>
  <c r="O29"/>
  <c r="P29"/>
  <c r="Q29"/>
  <c r="R29"/>
  <c r="W29" l="1"/>
  <c r="AC29" s="1"/>
  <c r="Q11" i="48" l="1"/>
  <c r="L11"/>
  <c r="C9" i="33" l="1"/>
  <c r="C5" l="1"/>
  <c r="C11" s="1"/>
  <c r="C26"/>
  <c r="C32" s="1"/>
  <c r="G13" i="48"/>
  <c r="G14"/>
  <c r="G15"/>
  <c r="G16"/>
  <c r="G12" l="1"/>
  <c r="I24" i="8"/>
  <c r="C21" i="20"/>
  <c r="L8" i="48"/>
  <c r="G11"/>
  <c r="G10"/>
  <c r="G9"/>
  <c r="G8"/>
  <c r="R40"/>
  <c r="R42" s="1"/>
  <c r="R43" s="1"/>
  <c r="I40"/>
  <c r="I42" s="1"/>
  <c r="I43" s="1"/>
  <c r="Q49"/>
  <c r="G49"/>
  <c r="W41"/>
  <c r="V41"/>
  <c r="T41"/>
  <c r="O40"/>
  <c r="O42" s="1"/>
  <c r="M40"/>
  <c r="E40"/>
  <c r="E42" s="1"/>
  <c r="C40"/>
  <c r="C42" s="1"/>
  <c r="W39"/>
  <c r="V39"/>
  <c r="T39"/>
  <c r="Q39"/>
  <c r="L39"/>
  <c r="G39"/>
  <c r="W38"/>
  <c r="V38"/>
  <c r="T38"/>
  <c r="Q38"/>
  <c r="L38"/>
  <c r="G38"/>
  <c r="W21"/>
  <c r="V21"/>
  <c r="T21"/>
  <c r="Q21"/>
  <c r="L21"/>
  <c r="G21"/>
  <c r="W20"/>
  <c r="V20"/>
  <c r="T20"/>
  <c r="Q20"/>
  <c r="L20"/>
  <c r="G20"/>
  <c r="W19"/>
  <c r="V19"/>
  <c r="T19"/>
  <c r="Q19"/>
  <c r="L19"/>
  <c r="G19"/>
  <c r="W18"/>
  <c r="T18"/>
  <c r="Q18"/>
  <c r="L18"/>
  <c r="E22"/>
  <c r="V22" s="1"/>
  <c r="W17"/>
  <c r="V17"/>
  <c r="T17"/>
  <c r="Q17"/>
  <c r="L17"/>
  <c r="G17"/>
  <c r="W16"/>
  <c r="V16"/>
  <c r="T16"/>
  <c r="Q16"/>
  <c r="L16"/>
  <c r="W15"/>
  <c r="V15"/>
  <c r="T15"/>
  <c r="Q15"/>
  <c r="L15"/>
  <c r="W14"/>
  <c r="V14"/>
  <c r="T14"/>
  <c r="Q14"/>
  <c r="L14"/>
  <c r="W13"/>
  <c r="V13"/>
  <c r="T13"/>
  <c r="Q13"/>
  <c r="L13"/>
  <c r="AA12"/>
  <c r="Z12"/>
  <c r="W12"/>
  <c r="V12"/>
  <c r="T12"/>
  <c r="Q12"/>
  <c r="L12"/>
  <c r="W11"/>
  <c r="V11"/>
  <c r="T11"/>
  <c r="W10"/>
  <c r="V10"/>
  <c r="T10"/>
  <c r="Q10"/>
  <c r="L10"/>
  <c r="W9"/>
  <c r="V9"/>
  <c r="T9"/>
  <c r="Q9"/>
  <c r="L9"/>
  <c r="W8"/>
  <c r="V8"/>
  <c r="T8"/>
  <c r="Q8"/>
  <c r="S2"/>
  <c r="R2"/>
  <c r="O2"/>
  <c r="M2"/>
  <c r="T2" l="1"/>
  <c r="G18"/>
  <c r="V18"/>
  <c r="U19"/>
  <c r="W40"/>
  <c r="C43"/>
  <c r="C49" s="1"/>
  <c r="Q2"/>
  <c r="V42"/>
  <c r="O43"/>
  <c r="O49" s="1"/>
  <c r="M42"/>
  <c r="W42" s="1"/>
  <c r="V40"/>
  <c r="I24" i="49" l="1"/>
  <c r="E24"/>
  <c r="G24"/>
  <c r="E43" i="48"/>
  <c r="M43"/>
  <c r="E49" l="1"/>
  <c r="V43"/>
  <c r="M49"/>
  <c r="W43"/>
  <c r="S13" i="45" l="1"/>
  <c r="T13"/>
  <c r="S11"/>
  <c r="T11"/>
  <c r="T12"/>
  <c r="T10"/>
  <c r="P11"/>
  <c r="Q11"/>
  <c r="Q12"/>
  <c r="Q10"/>
  <c r="G11"/>
  <c r="H11"/>
  <c r="G12"/>
  <c r="H12"/>
  <c r="G13"/>
  <c r="H13"/>
  <c r="H10"/>
  <c r="G10"/>
  <c r="V10" s="1"/>
  <c r="AB10" s="1"/>
  <c r="H24" i="6"/>
  <c r="O46" i="10"/>
  <c r="K39"/>
  <c r="I39"/>
  <c r="I27"/>
  <c r="I46"/>
  <c r="K47" l="1"/>
  <c r="Y29" i="45"/>
  <c r="W13"/>
  <c r="AC13" s="1"/>
  <c r="W12"/>
  <c r="AC12" s="1"/>
  <c r="W11"/>
  <c r="AC11" s="1"/>
  <c r="O27" i="10"/>
  <c r="O39"/>
  <c r="I11" i="40"/>
  <c r="E10" i="45"/>
  <c r="W10" s="1"/>
  <c r="AC10" s="1"/>
  <c r="V29"/>
  <c r="D26"/>
  <c r="V26" s="1"/>
  <c r="AB26" s="1"/>
  <c r="D11"/>
  <c r="V12"/>
  <c r="AB12" s="1"/>
  <c r="D13"/>
  <c r="V13" s="1"/>
  <c r="AB13" s="1"/>
  <c r="AB29" l="1"/>
  <c r="V11"/>
  <c r="AB11" s="1"/>
  <c r="D14"/>
  <c r="D16" s="1"/>
  <c r="D18" s="1"/>
  <c r="W14"/>
  <c r="W16" s="1"/>
  <c r="O47" i="10"/>
  <c r="I47"/>
  <c r="R13" i="24"/>
  <c r="AC16" i="45" l="1"/>
  <c r="W18"/>
  <c r="AC18" s="1"/>
  <c r="T18" i="14"/>
  <c r="T22" s="1"/>
  <c r="T23" s="1"/>
  <c r="T13" i="24"/>
  <c r="P43" i="23"/>
  <c r="P15"/>
  <c r="P19" s="1"/>
  <c r="X13" i="24" l="1"/>
  <c r="V18" i="14"/>
  <c r="V22" s="1"/>
  <c r="V23" s="1"/>
  <c r="R43" i="23"/>
  <c r="R48" i="11"/>
  <c r="R51" s="1"/>
  <c r="R52" s="1"/>
  <c r="R15" i="23"/>
  <c r="R18" i="11"/>
  <c r="R22" s="1"/>
  <c r="R23" s="1"/>
  <c r="W23" s="1"/>
  <c r="B44" i="24"/>
  <c r="B56" s="1"/>
  <c r="T18" i="11" l="1"/>
  <c r="T48"/>
  <c r="T51" s="1"/>
  <c r="W52"/>
  <c r="R19" i="22"/>
  <c r="R20"/>
  <c r="R21"/>
  <c r="R22"/>
  <c r="R23"/>
  <c r="R24"/>
  <c r="T22" i="11" l="1"/>
  <c r="T23" s="1"/>
  <c r="X23" s="1"/>
  <c r="K25" i="38" l="1"/>
  <c r="M29" i="39" s="1"/>
  <c r="O29" s="1"/>
  <c r="K21" i="38"/>
  <c r="M25" i="39" s="1"/>
  <c r="K20" i="38"/>
  <c r="M24" i="39" s="1"/>
  <c r="K19" i="38"/>
  <c r="K18"/>
  <c r="K17"/>
  <c r="M21" i="39" s="1"/>
  <c r="K14" i="38"/>
  <c r="M18" i="39" s="1"/>
  <c r="K12" i="38"/>
  <c r="M16" i="39" s="1"/>
  <c r="K11" i="38"/>
  <c r="K10"/>
  <c r="M14" i="39" s="1"/>
  <c r="K8" i="38"/>
  <c r="M12" i="39" s="1"/>
  <c r="M13" s="1"/>
  <c r="I21" i="38"/>
  <c r="K25" i="39" s="1"/>
  <c r="I20" i="38"/>
  <c r="K24" i="39" s="1"/>
  <c r="I19" i="38"/>
  <c r="K23" i="39" s="1"/>
  <c r="I18" i="38"/>
  <c r="K22" i="39" s="1"/>
  <c r="I17" i="38"/>
  <c r="K21" i="39" s="1"/>
  <c r="I14" i="38"/>
  <c r="I12"/>
  <c r="K16" i="39" s="1"/>
  <c r="I11" i="38"/>
  <c r="K15" i="39" s="1"/>
  <c r="I10" i="38"/>
  <c r="K14" i="39" s="1"/>
  <c r="I8" i="38"/>
  <c r="I7"/>
  <c r="K11" i="39" s="1"/>
  <c r="D22" i="38"/>
  <c r="E22"/>
  <c r="K22" s="1"/>
  <c r="D13"/>
  <c r="D15" s="1"/>
  <c r="I22"/>
  <c r="E9"/>
  <c r="E13" s="1"/>
  <c r="C9"/>
  <c r="C13" s="1"/>
  <c r="D24" l="1"/>
  <c r="D26" s="1"/>
  <c r="D29" s="1"/>
  <c r="K9"/>
  <c r="O24" i="39"/>
  <c r="K12"/>
  <c r="O12" s="1"/>
  <c r="K18"/>
  <c r="O18" s="1"/>
  <c r="O14"/>
  <c r="K26"/>
  <c r="O21"/>
  <c r="O25"/>
  <c r="M15"/>
  <c r="M17" s="1"/>
  <c r="M19" s="1"/>
  <c r="M22"/>
  <c r="O22" s="1"/>
  <c r="M23"/>
  <c r="O23" s="1"/>
  <c r="O11"/>
  <c r="O16"/>
  <c r="K13" i="38"/>
  <c r="E15"/>
  <c r="C15"/>
  <c r="I15" s="1"/>
  <c r="I13"/>
  <c r="I9"/>
  <c r="K13" i="39" l="1"/>
  <c r="K17" s="1"/>
  <c r="O15"/>
  <c r="M26"/>
  <c r="O26" s="1"/>
  <c r="C24" i="38"/>
  <c r="C26" s="1"/>
  <c r="E24"/>
  <c r="K15"/>
  <c r="O13" i="39" l="1"/>
  <c r="K19"/>
  <c r="O17"/>
  <c r="M28"/>
  <c r="M30" s="1"/>
  <c r="M33" s="1"/>
  <c r="I24" i="38"/>
  <c r="K24"/>
  <c r="E26"/>
  <c r="C29"/>
  <c r="I26"/>
  <c r="Q26" i="3"/>
  <c r="P26"/>
  <c r="N26"/>
  <c r="O23"/>
  <c r="N29" i="4"/>
  <c r="N28"/>
  <c r="N27"/>
  <c r="N26"/>
  <c r="K26"/>
  <c r="N25"/>
  <c r="K25"/>
  <c r="N24"/>
  <c r="K24"/>
  <c r="N23"/>
  <c r="K23"/>
  <c r="N22"/>
  <c r="K22"/>
  <c r="N21"/>
  <c r="K21"/>
  <c r="N20"/>
  <c r="K20"/>
  <c r="N19"/>
  <c r="K19"/>
  <c r="N18"/>
  <c r="K18"/>
  <c r="N17"/>
  <c r="K17"/>
  <c r="N16"/>
  <c r="K16"/>
  <c r="N15"/>
  <c r="K15"/>
  <c r="N14"/>
  <c r="K14"/>
  <c r="N13"/>
  <c r="K13"/>
  <c r="N12"/>
  <c r="K12"/>
  <c r="N11"/>
  <c r="K11"/>
  <c r="N10"/>
  <c r="K10"/>
  <c r="K28" i="39" l="1"/>
  <c r="O19"/>
  <c r="M36"/>
  <c r="M11" i="40"/>
  <c r="I29" i="38"/>
  <c r="C32"/>
  <c r="K26"/>
  <c r="E29"/>
  <c r="F14" i="21"/>
  <c r="F13"/>
  <c r="G28" i="38"/>
  <c r="G25"/>
  <c r="G21"/>
  <c r="G20"/>
  <c r="G19"/>
  <c r="G18"/>
  <c r="G17"/>
  <c r="G14"/>
  <c r="G12"/>
  <c r="G11"/>
  <c r="G10"/>
  <c r="G8"/>
  <c r="G7"/>
  <c r="G13" i="20"/>
  <c r="G11"/>
  <c r="G10"/>
  <c r="G8"/>
  <c r="G20"/>
  <c r="G19"/>
  <c r="G18"/>
  <c r="G17"/>
  <c r="G16"/>
  <c r="G24"/>
  <c r="G27"/>
  <c r="G7"/>
  <c r="K29" i="38" l="1"/>
  <c r="T9" i="24"/>
  <c r="X9" s="1"/>
  <c r="D8" i="41"/>
  <c r="K30" i="39"/>
  <c r="O28"/>
  <c r="M38"/>
  <c r="O36"/>
  <c r="I17" i="49"/>
  <c r="I32" s="1"/>
  <c r="I34" s="1"/>
  <c r="J8" i="41" l="1"/>
  <c r="K33" i="39"/>
  <c r="O30"/>
  <c r="O38"/>
  <c r="M40"/>
  <c r="O40" s="1"/>
  <c r="I1" i="49"/>
  <c r="K11" i="40" l="1"/>
  <c r="O33" i="39"/>
  <c r="S44" i="22"/>
  <c r="S37"/>
  <c r="S25"/>
  <c r="I44"/>
  <c r="I37"/>
  <c r="I25"/>
  <c r="G9" i="38"/>
  <c r="O11" i="40" l="1"/>
  <c r="I45" i="22"/>
  <c r="S45"/>
  <c r="G13" i="38" l="1"/>
  <c r="M7"/>
  <c r="R10" i="22"/>
  <c r="G15" i="38" l="1"/>
  <c r="I17" i="47"/>
  <c r="I16"/>
  <c r="H17"/>
  <c r="H16"/>
  <c r="I9"/>
  <c r="I8"/>
  <c r="H9"/>
  <c r="H8"/>
  <c r="H10" l="1"/>
  <c r="I18"/>
  <c r="H18"/>
  <c r="G10"/>
  <c r="I10"/>
  <c r="F10"/>
  <c r="V10" i="22" l="1"/>
  <c r="V12"/>
  <c r="V13"/>
  <c r="V16"/>
  <c r="V17"/>
  <c r="V18"/>
  <c r="V19"/>
  <c r="V20"/>
  <c r="V22"/>
  <c r="V23"/>
  <c r="V24"/>
  <c r="V26"/>
  <c r="V27"/>
  <c r="V33"/>
  <c r="V34"/>
  <c r="V35"/>
  <c r="V36"/>
  <c r="V38"/>
  <c r="V39"/>
  <c r="V40"/>
  <c r="V41"/>
  <c r="V42"/>
  <c r="V43"/>
  <c r="B9" i="33" l="1"/>
  <c r="B11" s="1"/>
  <c r="B29"/>
  <c r="B32" s="1"/>
  <c r="C22" l="1"/>
  <c r="B22"/>
  <c r="G7" l="1"/>
  <c r="G9" s="1"/>
  <c r="AA13" i="22"/>
  <c r="G21" i="33" l="1"/>
  <c r="F441" i="29" l="1"/>
  <c r="F449" s="1"/>
  <c r="F454" s="1"/>
  <c r="H433"/>
  <c r="F433"/>
  <c r="L410"/>
  <c r="N410" s="1"/>
  <c r="H436"/>
  <c r="H435"/>
  <c r="H434"/>
  <c r="F436"/>
  <c r="F435"/>
  <c r="F434"/>
  <c r="D454"/>
  <c r="D449" l="1"/>
  <c r="D455" s="1"/>
  <c r="F437"/>
  <c r="H437"/>
  <c r="F427" l="1"/>
  <c r="J13" i="41" l="1"/>
  <c r="H13"/>
  <c r="K16" i="40" l="1"/>
  <c r="M16"/>
  <c r="T30" i="45"/>
  <c r="S30"/>
  <c r="Q30"/>
  <c r="P30"/>
  <c r="H30"/>
  <c r="G30"/>
  <c r="E30"/>
  <c r="D30"/>
  <c r="T27"/>
  <c r="S27"/>
  <c r="Q27"/>
  <c r="P27"/>
  <c r="H27"/>
  <c r="G27"/>
  <c r="E27"/>
  <c r="D27"/>
  <c r="E14"/>
  <c r="E16" s="1"/>
  <c r="E18" s="1"/>
  <c r="S14"/>
  <c r="S16" s="1"/>
  <c r="S18" s="1"/>
  <c r="Q14"/>
  <c r="Q16" s="1"/>
  <c r="Q18" s="1"/>
  <c r="P14"/>
  <c r="P16" s="1"/>
  <c r="P18" s="1"/>
  <c r="G14"/>
  <c r="G16" s="1"/>
  <c r="G18" s="1"/>
  <c r="J9" i="41"/>
  <c r="J10"/>
  <c r="J14"/>
  <c r="H9"/>
  <c r="H10"/>
  <c r="P357" i="29"/>
  <c r="K10" i="20"/>
  <c r="K18" i="40" l="1"/>
  <c r="O16"/>
  <c r="M17"/>
  <c r="O17" s="1"/>
  <c r="M14" i="8"/>
  <c r="O14" s="1"/>
  <c r="T14" i="45"/>
  <c r="T16" s="1"/>
  <c r="T18" s="1"/>
  <c r="H14"/>
  <c r="H16" s="1"/>
  <c r="H18" s="1"/>
  <c r="M12" i="38"/>
  <c r="M11"/>
  <c r="M10"/>
  <c r="M10" i="20"/>
  <c r="W27" i="45"/>
  <c r="W30"/>
  <c r="V27"/>
  <c r="V30"/>
  <c r="M18" i="40" l="1"/>
  <c r="M19" s="1"/>
  <c r="K19"/>
  <c r="V14" i="45"/>
  <c r="V16" s="1"/>
  <c r="AB16" l="1"/>
  <c r="V18"/>
  <c r="AB18" s="1"/>
  <c r="O19" i="40"/>
  <c r="O18"/>
  <c r="K11" i="20"/>
  <c r="I11"/>
  <c r="C26" i="35"/>
  <c r="K15" i="8" l="1"/>
  <c r="M15"/>
  <c r="U11" i="35"/>
  <c r="T11"/>
  <c r="M11" i="20"/>
  <c r="O15" i="8" l="1"/>
  <c r="N37" i="22"/>
  <c r="V44" l="1"/>
  <c r="J13" i="21" l="1"/>
  <c r="K8" i="20"/>
  <c r="K13"/>
  <c r="K16"/>
  <c r="K17"/>
  <c r="K18"/>
  <c r="K19"/>
  <c r="K20"/>
  <c r="K22"/>
  <c r="K24"/>
  <c r="K27"/>
  <c r="K7"/>
  <c r="I8"/>
  <c r="I13"/>
  <c r="K17" i="8" s="1"/>
  <c r="I16" i="20"/>
  <c r="I17"/>
  <c r="K21" i="8" s="1"/>
  <c r="I18" i="20"/>
  <c r="K22" i="8" s="1"/>
  <c r="I19" i="20"/>
  <c r="I20"/>
  <c r="K23" i="8" s="1"/>
  <c r="I22" i="20"/>
  <c r="I24"/>
  <c r="K27" i="8" s="1"/>
  <c r="I27" i="20"/>
  <c r="I7"/>
  <c r="M16" i="9" l="1"/>
  <c r="M11" i="8"/>
  <c r="K11"/>
  <c r="K20"/>
  <c r="M27"/>
  <c r="O27" s="1"/>
  <c r="M22"/>
  <c r="O22" s="1"/>
  <c r="M12"/>
  <c r="K12"/>
  <c r="M23"/>
  <c r="O23" s="1"/>
  <c r="M20"/>
  <c r="M30"/>
  <c r="M17"/>
  <c r="O17" s="1"/>
  <c r="K30"/>
  <c r="M21"/>
  <c r="O21" s="1"/>
  <c r="M19" i="20"/>
  <c r="L13" i="21"/>
  <c r="M8" i="38"/>
  <c r="M28"/>
  <c r="M25"/>
  <c r="M21"/>
  <c r="M20"/>
  <c r="M19"/>
  <c r="M18"/>
  <c r="M17"/>
  <c r="M14"/>
  <c r="M27" i="20"/>
  <c r="M24"/>
  <c r="M20"/>
  <c r="M18"/>
  <c r="M17"/>
  <c r="M16"/>
  <c r="M13"/>
  <c r="M8"/>
  <c r="M7"/>
  <c r="J14" i="21"/>
  <c r="H14"/>
  <c r="H15" l="1"/>
  <c r="K17" i="9"/>
  <c r="K18" s="1"/>
  <c r="M17"/>
  <c r="M18" s="1"/>
  <c r="O16"/>
  <c r="J15" i="21"/>
  <c r="O30" i="8"/>
  <c r="M13"/>
  <c r="M16" s="1"/>
  <c r="M18" s="1"/>
  <c r="M24"/>
  <c r="K13"/>
  <c r="O11"/>
  <c r="O12"/>
  <c r="K24"/>
  <c r="O20"/>
  <c r="L14" i="21"/>
  <c r="J15" i="41"/>
  <c r="O18" i="9" l="1"/>
  <c r="M26" i="8"/>
  <c r="M28" s="1"/>
  <c r="M31" s="1"/>
  <c r="O24"/>
  <c r="K16"/>
  <c r="O13"/>
  <c r="L32" i="38"/>
  <c r="F22"/>
  <c r="F15"/>
  <c r="F24" l="1"/>
  <c r="F26" s="1"/>
  <c r="F29" s="1"/>
  <c r="F32" s="1"/>
  <c r="K18" i="8"/>
  <c r="O16"/>
  <c r="M11" i="9"/>
  <c r="M19" s="1"/>
  <c r="M33" i="8"/>
  <c r="G22" i="38"/>
  <c r="O18" i="8" l="1"/>
  <c r="K26"/>
  <c r="M22" i="38"/>
  <c r="M9"/>
  <c r="K28" i="8" l="1"/>
  <c r="O26"/>
  <c r="M13" i="38"/>
  <c r="K31" i="8" l="1"/>
  <c r="O28"/>
  <c r="G24" i="38"/>
  <c r="M15"/>
  <c r="B8" i="41"/>
  <c r="N356" i="29"/>
  <c r="M24" i="38"/>
  <c r="F377" i="29"/>
  <c r="T45" i="14" l="1"/>
  <c r="T36" i="24"/>
  <c r="K33" i="8"/>
  <c r="O33" s="1"/>
  <c r="K11" i="9"/>
  <c r="O31" i="8"/>
  <c r="B16" i="41"/>
  <c r="G26" i="38"/>
  <c r="R356" i="29"/>
  <c r="H8" i="41"/>
  <c r="I32" i="38"/>
  <c r="X36" i="24" l="1"/>
  <c r="V43" i="14"/>
  <c r="V45" s="1"/>
  <c r="K19" i="9"/>
  <c r="O19" s="1"/>
  <c r="O11"/>
  <c r="G29" i="38"/>
  <c r="G32" s="1"/>
  <c r="M26"/>
  <c r="P356" i="29"/>
  <c r="P360" s="1"/>
  <c r="E32" i="38"/>
  <c r="M29"/>
  <c r="M32" s="1"/>
  <c r="D16" i="41" l="1"/>
  <c r="T356" i="29"/>
  <c r="K32" i="38"/>
  <c r="C11" i="35" l="1"/>
  <c r="L357" i="29" l="1"/>
  <c r="T357" s="1"/>
  <c r="T360" s="1"/>
  <c r="E6" i="33" l="1"/>
  <c r="P42" i="23" l="1"/>
  <c r="R42" s="1"/>
  <c r="V21" i="22" l="1"/>
  <c r="V28"/>
  <c r="I366" i="29"/>
  <c r="F419" l="1"/>
  <c r="F282"/>
  <c r="F357"/>
  <c r="N357" l="1"/>
  <c r="N360" s="1"/>
  <c r="H367"/>
  <c r="F367"/>
  <c r="J357"/>
  <c r="J367" l="1"/>
  <c r="J369" s="1"/>
  <c r="R357"/>
  <c r="R360" s="1"/>
  <c r="L367" l="1"/>
  <c r="D17" i="24" l="1"/>
  <c r="F17"/>
  <c r="H17"/>
  <c r="N17"/>
  <c r="R40" i="23"/>
  <c r="N45" i="11"/>
  <c r="N52" s="1"/>
  <c r="C19" i="23"/>
  <c r="E19"/>
  <c r="F19"/>
  <c r="G19"/>
  <c r="H19"/>
  <c r="I19"/>
  <c r="K19"/>
  <c r="O19"/>
  <c r="Q19"/>
  <c r="B19"/>
  <c r="R18"/>
  <c r="Y28" i="22"/>
  <c r="Z28" s="1"/>
  <c r="Z13"/>
  <c r="B22" i="23" l="1"/>
  <c r="B32" s="1"/>
  <c r="B55" s="1"/>
  <c r="B21"/>
  <c r="F20" i="24"/>
  <c r="F19"/>
  <c r="H22" i="23"/>
  <c r="H21"/>
  <c r="H20" i="24"/>
  <c r="H19"/>
  <c r="F22" i="23"/>
  <c r="F21"/>
  <c r="N20" i="24"/>
  <c r="N30" s="1"/>
  <c r="N52" s="1"/>
  <c r="N19"/>
  <c r="D20"/>
  <c r="D19"/>
  <c r="D26" i="11"/>
  <c r="D38" s="1"/>
  <c r="X37" s="1"/>
  <c r="T15" i="24"/>
  <c r="R17"/>
  <c r="R19" s="1"/>
  <c r="D44"/>
  <c r="B47" i="23"/>
  <c r="W50" i="11"/>
  <c r="T44"/>
  <c r="R39" i="23"/>
  <c r="L19"/>
  <c r="F15" i="21"/>
  <c r="P26" i="14" l="1"/>
  <c r="P38" s="1"/>
  <c r="H30" i="24"/>
  <c r="H52" s="1"/>
  <c r="J26" i="14"/>
  <c r="J38" s="1"/>
  <c r="J41" s="1"/>
  <c r="J53" s="1"/>
  <c r="F30" i="24"/>
  <c r="F52" s="1"/>
  <c r="H26" i="14"/>
  <c r="H38" s="1"/>
  <c r="H41" s="1"/>
  <c r="H53" s="1"/>
  <c r="H26" i="11"/>
  <c r="H38" s="1"/>
  <c r="F32" i="23"/>
  <c r="F55" s="1"/>
  <c r="J26" i="11"/>
  <c r="J38" s="1"/>
  <c r="H32" i="23"/>
  <c r="H55" s="1"/>
  <c r="P41" i="14"/>
  <c r="P53" s="1"/>
  <c r="Z36"/>
  <c r="D30" i="24"/>
  <c r="D52" s="1"/>
  <c r="F26" i="14"/>
  <c r="F38" s="1"/>
  <c r="L22" i="23"/>
  <c r="L32" s="1"/>
  <c r="L55" s="1"/>
  <c r="L21"/>
  <c r="T45" i="11"/>
  <c r="T52" s="1"/>
  <c r="X52" s="1"/>
  <c r="R20" i="24"/>
  <c r="R44"/>
  <c r="X15"/>
  <c r="T17"/>
  <c r="H47" i="23"/>
  <c r="F47"/>
  <c r="B60"/>
  <c r="H44" i="24"/>
  <c r="J44"/>
  <c r="F44"/>
  <c r="N44"/>
  <c r="F342" i="29"/>
  <c r="F340"/>
  <c r="F339"/>
  <c r="F336"/>
  <c r="F334"/>
  <c r="F333"/>
  <c r="N26" i="11" l="1"/>
  <c r="N38" s="1"/>
  <c r="Z57" i="14"/>
  <c r="Z51"/>
  <c r="F41"/>
  <c r="F53" s="1"/>
  <c r="Z50" s="1"/>
  <c r="Z34"/>
  <c r="T20" i="24"/>
  <c r="T30" s="1"/>
  <c r="T19"/>
  <c r="R30"/>
  <c r="R52" s="1"/>
  <c r="T26" i="14"/>
  <c r="X17" i="24"/>
  <c r="X19" s="1"/>
  <c r="T44"/>
  <c r="L47" i="23"/>
  <c r="F56" i="24"/>
  <c r="D56"/>
  <c r="G11" i="33"/>
  <c r="G13" s="1"/>
  <c r="F343" i="29"/>
  <c r="F337"/>
  <c r="T38" i="14" l="1"/>
  <c r="V26"/>
  <c r="X20" i="24"/>
  <c r="X30" s="1"/>
  <c r="X52" s="1"/>
  <c r="F344" i="29"/>
  <c r="D343"/>
  <c r="C343"/>
  <c r="D337"/>
  <c r="C337"/>
  <c r="D328"/>
  <c r="C328"/>
  <c r="D317"/>
  <c r="C310"/>
  <c r="D303"/>
  <c r="C303"/>
  <c r="D299"/>
  <c r="C299"/>
  <c r="D295"/>
  <c r="D288" s="1"/>
  <c r="C295"/>
  <c r="C288" s="1"/>
  <c r="F293"/>
  <c r="F295" s="1"/>
  <c r="C284"/>
  <c r="C285" s="1"/>
  <c r="C278" s="1"/>
  <c r="D283"/>
  <c r="D284" s="1"/>
  <c r="D285" s="1"/>
  <c r="D278" s="1"/>
  <c r="D277"/>
  <c r="C277"/>
  <c r="D270"/>
  <c r="D273" s="1"/>
  <c r="D274" s="1"/>
  <c r="C270"/>
  <c r="C273" s="1"/>
  <c r="C274" s="1"/>
  <c r="K409" s="1"/>
  <c r="C254"/>
  <c r="C245"/>
  <c r="C235"/>
  <c r="C223"/>
  <c r="C213"/>
  <c r="F209"/>
  <c r="C203"/>
  <c r="C195"/>
  <c r="C190"/>
  <c r="C180"/>
  <c r="F251"/>
  <c r="F253"/>
  <c r="F252"/>
  <c r="F176"/>
  <c r="C172"/>
  <c r="F202"/>
  <c r="F201"/>
  <c r="F169"/>
  <c r="C164"/>
  <c r="F234"/>
  <c r="F233"/>
  <c r="C155"/>
  <c r="F222"/>
  <c r="F221"/>
  <c r="C146"/>
  <c r="F212"/>
  <c r="F211"/>
  <c r="F142"/>
  <c r="C137"/>
  <c r="F189"/>
  <c r="F188"/>
  <c r="C113"/>
  <c r="F249"/>
  <c r="F248"/>
  <c r="C106"/>
  <c r="F241"/>
  <c r="F240"/>
  <c r="F238"/>
  <c r="C98"/>
  <c r="F231"/>
  <c r="F230"/>
  <c r="F229"/>
  <c r="F228"/>
  <c r="C88"/>
  <c r="F219"/>
  <c r="F218"/>
  <c r="F217"/>
  <c r="F216"/>
  <c r="C80"/>
  <c r="F208"/>
  <c r="F206"/>
  <c r="C72"/>
  <c r="F199"/>
  <c r="F198"/>
  <c r="C64"/>
  <c r="F186"/>
  <c r="F185"/>
  <c r="C56"/>
  <c r="F175"/>
  <c r="F174"/>
  <c r="C50"/>
  <c r="F168"/>
  <c r="F167"/>
  <c r="C38"/>
  <c r="F161"/>
  <c r="F160"/>
  <c r="F159"/>
  <c r="F158"/>
  <c r="C31"/>
  <c r="F152"/>
  <c r="F151"/>
  <c r="F150"/>
  <c r="F149"/>
  <c r="C24"/>
  <c r="F143"/>
  <c r="F141"/>
  <c r="F140"/>
  <c r="C17"/>
  <c r="F134"/>
  <c r="F133"/>
  <c r="F132"/>
  <c r="F131"/>
  <c r="F130"/>
  <c r="T41" i="14" l="1"/>
  <c r="T53" s="1"/>
  <c r="Z53" s="1"/>
  <c r="Z35"/>
  <c r="V38"/>
  <c r="K410" i="29"/>
  <c r="K411" s="1"/>
  <c r="C182"/>
  <c r="C123" s="1"/>
  <c r="C344"/>
  <c r="C329" s="1"/>
  <c r="C331" s="1"/>
  <c r="C304"/>
  <c r="C289" s="1"/>
  <c r="C290" s="1"/>
  <c r="F172"/>
  <c r="C58"/>
  <c r="C5" s="1"/>
  <c r="C256"/>
  <c r="C124" s="1"/>
  <c r="C122" s="1"/>
  <c r="D304"/>
  <c r="D289" s="1"/>
  <c r="D290" s="1"/>
  <c r="D291" s="1"/>
  <c r="C115"/>
  <c r="C6" s="1"/>
  <c r="D266"/>
  <c r="F203"/>
  <c r="C279"/>
  <c r="D279"/>
  <c r="D280" s="1"/>
  <c r="D344"/>
  <c r="D329" s="1"/>
  <c r="D330" s="1"/>
  <c r="D331" s="1"/>
  <c r="F44"/>
  <c r="F80"/>
  <c r="F164"/>
  <c r="F106"/>
  <c r="F254"/>
  <c r="F223"/>
  <c r="F195"/>
  <c r="F329"/>
  <c r="F137"/>
  <c r="F235"/>
  <c r="F146"/>
  <c r="F155"/>
  <c r="F180"/>
  <c r="F190"/>
  <c r="F38"/>
  <c r="F56"/>
  <c r="F72"/>
  <c r="F98"/>
  <c r="F113"/>
  <c r="F239"/>
  <c r="F245" s="1"/>
  <c r="F24"/>
  <c r="F31"/>
  <c r="F88"/>
  <c r="F207"/>
  <c r="F213" s="1"/>
  <c r="F50"/>
  <c r="F64"/>
  <c r="F17"/>
  <c r="C4" l="1"/>
  <c r="V41" i="14"/>
  <c r="V53" s="1"/>
  <c r="AA53" s="1"/>
  <c r="AA36"/>
  <c r="F58" i="29"/>
  <c r="F5" s="1"/>
  <c r="H64"/>
  <c r="F115"/>
  <c r="F6" s="1"/>
  <c r="F256"/>
  <c r="F124" s="1"/>
  <c r="F182"/>
  <c r="F123" s="1"/>
  <c r="F4" l="1"/>
  <c r="F122"/>
  <c r="W10" i="22" l="1"/>
  <c r="W12"/>
  <c r="W13"/>
  <c r="W16"/>
  <c r="W17"/>
  <c r="W18"/>
  <c r="W19"/>
  <c r="W20"/>
  <c r="W21"/>
  <c r="W22"/>
  <c r="W23"/>
  <c r="W24"/>
  <c r="W26"/>
  <c r="W27"/>
  <c r="W28"/>
  <c r="W33"/>
  <c r="W34"/>
  <c r="W35"/>
  <c r="W36"/>
  <c r="W38"/>
  <c r="W39"/>
  <c r="W40"/>
  <c r="W41"/>
  <c r="W42"/>
  <c r="W43"/>
  <c r="F369" i="29" l="1"/>
  <c r="H369" l="1"/>
  <c r="F298"/>
  <c r="F297"/>
  <c r="F299" s="1"/>
  <c r="F289" s="1"/>
  <c r="F411"/>
  <c r="X54" i="24" l="1"/>
  <c r="N45" i="22"/>
  <c r="N1" s="1"/>
  <c r="C37" l="1"/>
  <c r="V25"/>
  <c r="F420" i="29" l="1"/>
  <c r="F421" s="1"/>
  <c r="F283"/>
  <c r="F284" s="1"/>
  <c r="F285" s="1"/>
  <c r="F278" s="1"/>
  <c r="C45" i="22"/>
  <c r="C1" s="1"/>
  <c r="L31" i="20"/>
  <c r="E21"/>
  <c r="G21" l="1"/>
  <c r="I21"/>
  <c r="K21"/>
  <c r="E9"/>
  <c r="C9"/>
  <c r="N77" i="22"/>
  <c r="C77"/>
  <c r="G54"/>
  <c r="G53"/>
  <c r="R50"/>
  <c r="G50"/>
  <c r="R48"/>
  <c r="G48"/>
  <c r="R47"/>
  <c r="G47"/>
  <c r="L369" i="29"/>
  <c r="F410"/>
  <c r="F412" s="1"/>
  <c r="R43" i="22"/>
  <c r="G43"/>
  <c r="R42"/>
  <c r="G41"/>
  <c r="R40"/>
  <c r="G40"/>
  <c r="P37"/>
  <c r="W37" s="1"/>
  <c r="E37"/>
  <c r="E45" s="1"/>
  <c r="R36"/>
  <c r="R35"/>
  <c r="R34"/>
  <c r="R33"/>
  <c r="R28"/>
  <c r="P25"/>
  <c r="G24"/>
  <c r="G23"/>
  <c r="G22"/>
  <c r="G21"/>
  <c r="G19"/>
  <c r="R18"/>
  <c r="G18"/>
  <c r="R17"/>
  <c r="G17"/>
  <c r="R16"/>
  <c r="R13"/>
  <c r="G13"/>
  <c r="R12"/>
  <c r="G12"/>
  <c r="G10"/>
  <c r="R9"/>
  <c r="G9"/>
  <c r="V37" l="1"/>
  <c r="G37"/>
  <c r="R25"/>
  <c r="E12" i="20"/>
  <c r="M21"/>
  <c r="G9"/>
  <c r="F426" i="29"/>
  <c r="C12" i="20"/>
  <c r="I9"/>
  <c r="K9"/>
  <c r="F328" i="29"/>
  <c r="F330" s="1"/>
  <c r="F331" s="1"/>
  <c r="W25" i="22"/>
  <c r="G25"/>
  <c r="G44"/>
  <c r="P45"/>
  <c r="P1" s="1"/>
  <c r="R37"/>
  <c r="V45" l="1"/>
  <c r="E1"/>
  <c r="K12" i="20"/>
  <c r="G12"/>
  <c r="M9"/>
  <c r="F429" i="29"/>
  <c r="F430"/>
  <c r="I12" i="20"/>
  <c r="E14"/>
  <c r="C14"/>
  <c r="W45" i="22"/>
  <c r="W48"/>
  <c r="V48"/>
  <c r="R44"/>
  <c r="W44"/>
  <c r="P77"/>
  <c r="R45"/>
  <c r="R77" s="1"/>
  <c r="E77"/>
  <c r="G45"/>
  <c r="G77" s="1"/>
  <c r="M12" i="20" l="1"/>
  <c r="G14"/>
  <c r="K14"/>
  <c r="I14"/>
  <c r="E23"/>
  <c r="C23"/>
  <c r="G23" l="1"/>
  <c r="M14"/>
  <c r="K23"/>
  <c r="I23"/>
  <c r="E25"/>
  <c r="C25"/>
  <c r="E17" i="49" l="1"/>
  <c r="E32" s="1"/>
  <c r="E34" s="1"/>
  <c r="M23" i="20"/>
  <c r="L409" i="29"/>
  <c r="G25" i="20"/>
  <c r="K25"/>
  <c r="I25"/>
  <c r="E28"/>
  <c r="F417" i="29"/>
  <c r="F418" s="1"/>
  <c r="F277"/>
  <c r="F279" s="1"/>
  <c r="F280" s="1"/>
  <c r="C28" i="20"/>
  <c r="R24" i="23" s="1"/>
  <c r="W28" i="11" s="1"/>
  <c r="E1" i="49" l="1"/>
  <c r="C32"/>
  <c r="N409" i="29"/>
  <c r="N411" s="1"/>
  <c r="L411"/>
  <c r="R11" i="23"/>
  <c r="G28" i="20"/>
  <c r="G31" s="1"/>
  <c r="M25"/>
  <c r="F422" i="29"/>
  <c r="K28" i="20"/>
  <c r="I28"/>
  <c r="H356" i="29"/>
  <c r="H360" s="1"/>
  <c r="D8" i="21"/>
  <c r="F408" i="29"/>
  <c r="F356"/>
  <c r="B8" i="21"/>
  <c r="F288" i="29"/>
  <c r="F290" s="1"/>
  <c r="F291" s="1"/>
  <c r="C31" i="20"/>
  <c r="H8" i="21" l="1"/>
  <c r="B16"/>
  <c r="D16"/>
  <c r="M28" i="20"/>
  <c r="M31" s="1"/>
  <c r="F8" i="21"/>
  <c r="J8"/>
  <c r="K31" i="20"/>
  <c r="L356" i="29"/>
  <c r="L360" s="1"/>
  <c r="J356"/>
  <c r="J360" s="1"/>
  <c r="F409"/>
  <c r="F413" s="1"/>
  <c r="I31" i="20"/>
  <c r="F350" i="29"/>
  <c r="F349" s="1"/>
  <c r="F360"/>
  <c r="R38" i="23"/>
  <c r="C34" i="49" l="1"/>
  <c r="C1" s="1"/>
  <c r="J16" i="21"/>
  <c r="H16"/>
  <c r="F16"/>
  <c r="L8"/>
  <c r="J16" i="41"/>
  <c r="H16"/>
  <c r="R56" i="24" l="1"/>
  <c r="AB17" l="1"/>
  <c r="X44" l="1"/>
  <c r="X56" l="1"/>
  <c r="AB44"/>
  <c r="D19" i="23" l="1"/>
  <c r="D22" l="1"/>
  <c r="D21"/>
  <c r="F26" i="11"/>
  <c r="F38" s="1"/>
  <c r="X36" s="1"/>
  <c r="D32" i="23"/>
  <c r="D55" s="1"/>
  <c r="D47"/>
  <c r="D60" l="1"/>
  <c r="J19"/>
  <c r="J21" s="1"/>
  <c r="P22" l="1"/>
  <c r="P32" s="1"/>
  <c r="P55" s="1"/>
  <c r="P21"/>
  <c r="J22"/>
  <c r="R17"/>
  <c r="R26" i="11" l="1"/>
  <c r="R38" s="1"/>
  <c r="X38" s="1"/>
  <c r="J32" i="23"/>
  <c r="J55" s="1"/>
  <c r="L26" i="11"/>
  <c r="L38" s="1"/>
  <c r="X35" s="1"/>
  <c r="R19" i="23"/>
  <c r="R21" s="1"/>
  <c r="J47"/>
  <c r="T26" i="11" l="1"/>
  <c r="T38" s="1"/>
  <c r="Y38" s="1"/>
  <c r="R22" i="23"/>
  <c r="F60"/>
  <c r="P47"/>
  <c r="R47"/>
  <c r="W26" i="11" l="1"/>
  <c r="R32" i="23"/>
  <c r="R55" s="1"/>
  <c r="P60"/>
  <c r="R60"/>
  <c r="G39" i="49"/>
  <c r="I40" i="37"/>
  <c r="I41" s="1"/>
  <c r="O54" i="30"/>
  <c r="S54" s="1"/>
  <c r="T54" s="1"/>
  <c r="O50" l="1"/>
  <c r="S50" s="1"/>
  <c r="S106" s="1"/>
  <c r="S1" s="1"/>
  <c r="T52" l="1"/>
  <c r="G27" i="49" s="1"/>
  <c r="I30" i="37" s="1"/>
  <c r="I33" s="1"/>
  <c r="O106" i="30"/>
  <c r="O1" s="1"/>
  <c r="G30" i="49"/>
  <c r="T141" i="30"/>
  <c r="G13" i="49" s="1"/>
  <c r="I16" i="37" s="1"/>
  <c r="T106" i="30" l="1"/>
  <c r="T1" s="1"/>
  <c r="I20" i="37"/>
  <c r="I35" s="1"/>
  <c r="I37" s="1"/>
  <c r="I1" s="1"/>
  <c r="G17" i="49"/>
  <c r="G32" s="1"/>
  <c r="G34" s="1"/>
  <c r="G1" s="1"/>
</calcChain>
</file>

<file path=xl/comments1.xml><?xml version="1.0" encoding="utf-8"?>
<comments xmlns="http://schemas.openxmlformats.org/spreadsheetml/2006/main">
  <authors>
    <author>Asanka Dhammika Nawarathna</author>
  </authors>
  <commentList>
    <comment ref="H13" authorId="0">
      <text>
        <r>
          <rPr>
            <b/>
            <sz val="9"/>
            <color indexed="81"/>
            <rFont val="Tahoma"/>
            <family val="2"/>
          </rPr>
          <t>Asanka Dhammika Nawarathna:</t>
        </r>
        <r>
          <rPr>
            <sz val="9"/>
            <color indexed="81"/>
            <rFont val="Tahoma"/>
            <family val="2"/>
          </rPr>
          <t xml:space="preserve">
Gain or loss on valuation of Held for Traiding assets - PNL charge</t>
        </r>
      </text>
    </comment>
    <comment ref="T13" authorId="0">
      <text>
        <r>
          <rPr>
            <b/>
            <sz val="9"/>
            <color indexed="81"/>
            <rFont val="Tahoma"/>
            <family val="2"/>
          </rPr>
          <t>Asanka Dhammika Nawarathna:</t>
        </r>
        <r>
          <rPr>
            <sz val="9"/>
            <color indexed="81"/>
            <rFont val="Tahoma"/>
            <family val="2"/>
          </rPr>
          <t xml:space="preserve">
Gain or loss on valuation of Held for Traiding assets - PNL charge</t>
        </r>
      </text>
    </comment>
    <comment ref="H18" authorId="0">
      <text>
        <r>
          <rPr>
            <b/>
            <sz val="9"/>
            <color indexed="81"/>
            <rFont val="Tahoma"/>
            <family val="2"/>
          </rPr>
          <t>Asanka Dhammika Nawarathna:</t>
        </r>
        <r>
          <rPr>
            <sz val="9"/>
            <color indexed="81"/>
            <rFont val="Tahoma"/>
            <family val="2"/>
          </rPr>
          <t xml:space="preserve">
Net trading income from  sale of vehicles</t>
        </r>
      </text>
    </comment>
    <comment ref="T18" authorId="0">
      <text>
        <r>
          <rPr>
            <b/>
            <sz val="9"/>
            <color indexed="81"/>
            <rFont val="Tahoma"/>
            <family val="2"/>
          </rPr>
          <t>Asanka Dhammika Nawarathna:</t>
        </r>
        <r>
          <rPr>
            <sz val="9"/>
            <color indexed="81"/>
            <rFont val="Tahoma"/>
            <family val="2"/>
          </rPr>
          <t xml:space="preserve">
Net trading income from  sale of vehicles</t>
        </r>
      </text>
    </comment>
    <comment ref="H31" authorId="0">
      <text>
        <r>
          <rPr>
            <b/>
            <sz val="9"/>
            <color indexed="81"/>
            <rFont val="Tahoma"/>
            <family val="2"/>
          </rPr>
          <t>Asanka Dhammika Nawarathna:</t>
        </r>
        <r>
          <rPr>
            <sz val="9"/>
            <color indexed="81"/>
            <rFont val="Tahoma"/>
            <family val="2"/>
          </rPr>
          <t xml:space="preserve">
Profit or loss on disposal</t>
        </r>
      </text>
    </comment>
    <comment ref="T31" authorId="0">
      <text>
        <r>
          <rPr>
            <b/>
            <sz val="9"/>
            <color indexed="81"/>
            <rFont val="Tahoma"/>
            <family val="2"/>
          </rPr>
          <t>Asanka Dhammika Nawarathna:</t>
        </r>
        <r>
          <rPr>
            <sz val="9"/>
            <color indexed="81"/>
            <rFont val="Tahoma"/>
            <family val="2"/>
          </rPr>
          <t xml:space="preserve">
Profit or loss on disposal</t>
        </r>
      </text>
    </comment>
    <comment ref="H32" authorId="0">
      <text>
        <r>
          <rPr>
            <b/>
            <sz val="9"/>
            <color indexed="81"/>
            <rFont val="Tahoma"/>
            <family val="2"/>
          </rPr>
          <t>Asanka Dhammika Nawarathna:</t>
        </r>
        <r>
          <rPr>
            <sz val="9"/>
            <color indexed="81"/>
            <rFont val="Tahoma"/>
            <family val="2"/>
          </rPr>
          <t xml:space="preserve">
addition</t>
        </r>
      </text>
    </comment>
    <comment ref="T32" authorId="0">
      <text>
        <r>
          <rPr>
            <b/>
            <sz val="9"/>
            <color indexed="81"/>
            <rFont val="Tahoma"/>
            <family val="2"/>
          </rPr>
          <t>Asanka Dhammika Nawarathna:</t>
        </r>
        <r>
          <rPr>
            <sz val="9"/>
            <color indexed="81"/>
            <rFont val="Tahoma"/>
            <family val="2"/>
          </rPr>
          <t xml:space="preserve">
addition</t>
        </r>
      </text>
    </comment>
    <comment ref="H33" authorId="0">
      <text>
        <r>
          <rPr>
            <b/>
            <sz val="9"/>
            <color indexed="81"/>
            <rFont val="Tahoma"/>
            <family val="2"/>
          </rPr>
          <t>Asanka Dhammika Nawarathna:</t>
        </r>
        <r>
          <rPr>
            <sz val="9"/>
            <color indexed="81"/>
            <rFont val="Tahoma"/>
            <family val="2"/>
          </rPr>
          <t xml:space="preserve">
Disposal Cost
</t>
        </r>
      </text>
    </comment>
    <comment ref="T33" authorId="0">
      <text>
        <r>
          <rPr>
            <b/>
            <sz val="9"/>
            <color indexed="81"/>
            <rFont val="Tahoma"/>
            <family val="2"/>
          </rPr>
          <t>Asanka Dhammika Nawarathna:</t>
        </r>
        <r>
          <rPr>
            <sz val="9"/>
            <color indexed="81"/>
            <rFont val="Tahoma"/>
            <family val="2"/>
          </rPr>
          <t xml:space="preserve">
Disposal Cost
</t>
        </r>
      </text>
    </comment>
    <comment ref="H38" authorId="0">
      <text>
        <r>
          <rPr>
            <b/>
            <sz val="9"/>
            <color indexed="81"/>
            <rFont val="Tahoma"/>
            <family val="2"/>
          </rPr>
          <t>Asanka Dhammika Nawarathna:</t>
        </r>
        <r>
          <rPr>
            <sz val="9"/>
            <color indexed="81"/>
            <rFont val="Tahoma"/>
            <family val="2"/>
          </rPr>
          <t xml:space="preserve">
Profit or loss on disposal</t>
        </r>
      </text>
    </comment>
    <comment ref="T38" authorId="0">
      <text>
        <r>
          <rPr>
            <b/>
            <sz val="9"/>
            <color indexed="81"/>
            <rFont val="Tahoma"/>
            <family val="2"/>
          </rPr>
          <t>Asanka Dhammika Nawarathna:</t>
        </r>
        <r>
          <rPr>
            <sz val="9"/>
            <color indexed="81"/>
            <rFont val="Tahoma"/>
            <family val="2"/>
          </rPr>
          <t xml:space="preserve">
Profit or loss on disposal</t>
        </r>
      </text>
    </comment>
    <comment ref="H39" authorId="0">
      <text>
        <r>
          <rPr>
            <b/>
            <sz val="9"/>
            <color indexed="81"/>
            <rFont val="Tahoma"/>
            <family val="2"/>
          </rPr>
          <t>Asanka Dhammika Nawarathna:</t>
        </r>
        <r>
          <rPr>
            <sz val="9"/>
            <color indexed="81"/>
            <rFont val="Tahoma"/>
            <family val="2"/>
          </rPr>
          <t xml:space="preserve">
PPE addition</t>
        </r>
      </text>
    </comment>
    <comment ref="T39" authorId="0">
      <text>
        <r>
          <rPr>
            <b/>
            <sz val="9"/>
            <color indexed="81"/>
            <rFont val="Tahoma"/>
            <family val="2"/>
          </rPr>
          <t>Asanka Dhammika Nawarathna:</t>
        </r>
        <r>
          <rPr>
            <sz val="9"/>
            <color indexed="81"/>
            <rFont val="Tahoma"/>
            <family val="2"/>
          </rPr>
          <t xml:space="preserve">
PPE addition</t>
        </r>
      </text>
    </comment>
    <comment ref="H40" authorId="0">
      <text>
        <r>
          <rPr>
            <b/>
            <sz val="9"/>
            <color indexed="81"/>
            <rFont val="Tahoma"/>
            <family val="2"/>
          </rPr>
          <t>Asanka Dhammika Nawarathna:</t>
        </r>
        <r>
          <rPr>
            <sz val="9"/>
            <color indexed="81"/>
            <rFont val="Tahoma"/>
            <family val="2"/>
          </rPr>
          <t xml:space="preserve">
Disposal Cost
</t>
        </r>
      </text>
    </comment>
    <comment ref="T40" authorId="0">
      <text>
        <r>
          <rPr>
            <b/>
            <sz val="9"/>
            <color indexed="81"/>
            <rFont val="Tahoma"/>
            <family val="2"/>
          </rPr>
          <t>Asanka Dhammika Nawarathna:</t>
        </r>
        <r>
          <rPr>
            <sz val="9"/>
            <color indexed="81"/>
            <rFont val="Tahoma"/>
            <family val="2"/>
          </rPr>
          <t xml:space="preserve">
Disposal Cost
</t>
        </r>
      </text>
    </comment>
    <comment ref="H54" authorId="0">
      <text>
        <r>
          <rPr>
            <b/>
            <sz val="9"/>
            <color indexed="81"/>
            <rFont val="Tahoma"/>
            <family val="2"/>
          </rPr>
          <t>Asanka Dhammika Nawarathna:</t>
        </r>
        <r>
          <rPr>
            <sz val="9"/>
            <color indexed="81"/>
            <rFont val="Tahoma"/>
            <family val="2"/>
          </rPr>
          <t xml:space="preserve">
OD balance</t>
        </r>
      </text>
    </comment>
    <comment ref="T54" authorId="0">
      <text>
        <r>
          <rPr>
            <b/>
            <sz val="9"/>
            <color indexed="81"/>
            <rFont val="Tahoma"/>
            <family val="2"/>
          </rPr>
          <t>Asanka Dhammika Nawarathna:</t>
        </r>
        <r>
          <rPr>
            <sz val="9"/>
            <color indexed="81"/>
            <rFont val="Tahoma"/>
            <family val="2"/>
          </rPr>
          <t xml:space="preserve">
OD balance</t>
        </r>
      </text>
    </comment>
    <comment ref="H60" authorId="0">
      <text>
        <r>
          <rPr>
            <b/>
            <sz val="9"/>
            <color indexed="81"/>
            <rFont val="Tahoma"/>
            <family val="2"/>
          </rPr>
          <t>Asanka Dhammika Nawarathna:</t>
        </r>
        <r>
          <rPr>
            <sz val="9"/>
            <color indexed="81"/>
            <rFont val="Tahoma"/>
            <family val="2"/>
          </rPr>
          <t xml:space="preserve">
Dividend payable</t>
        </r>
      </text>
    </comment>
    <comment ref="T60" authorId="0">
      <text>
        <r>
          <rPr>
            <b/>
            <sz val="9"/>
            <color indexed="81"/>
            <rFont val="Tahoma"/>
            <family val="2"/>
          </rPr>
          <t>Asanka Dhammika Nawarathna:</t>
        </r>
        <r>
          <rPr>
            <sz val="9"/>
            <color indexed="81"/>
            <rFont val="Tahoma"/>
            <family val="2"/>
          </rPr>
          <t xml:space="preserve">
Dividend payable</t>
        </r>
      </text>
    </comment>
    <comment ref="H70" authorId="0">
      <text>
        <r>
          <rPr>
            <b/>
            <sz val="9"/>
            <color indexed="81"/>
            <rFont val="Tahoma"/>
            <family val="2"/>
          </rPr>
          <t>Asanka Dhammika Nawarathna:</t>
        </r>
        <r>
          <rPr>
            <sz val="9"/>
            <color indexed="81"/>
            <rFont val="Tahoma"/>
            <family val="2"/>
          </rPr>
          <t xml:space="preserve">
Income tax paid during the period</t>
        </r>
      </text>
    </comment>
    <comment ref="H78" authorId="0">
      <text>
        <r>
          <rPr>
            <b/>
            <sz val="9"/>
            <color indexed="81"/>
            <rFont val="Tahoma"/>
            <family val="2"/>
          </rPr>
          <t>Asanka Dhammika Nawarathna:</t>
        </r>
        <r>
          <rPr>
            <sz val="9"/>
            <color indexed="81"/>
            <rFont val="Tahoma"/>
            <family val="2"/>
          </rPr>
          <t xml:space="preserve">
Gratuity charge during the period</t>
        </r>
      </text>
    </comment>
    <comment ref="T78" authorId="0">
      <text>
        <r>
          <rPr>
            <b/>
            <sz val="9"/>
            <color indexed="81"/>
            <rFont val="Tahoma"/>
            <family val="2"/>
          </rPr>
          <t>Asanka Dhammika Nawarathna:</t>
        </r>
        <r>
          <rPr>
            <sz val="9"/>
            <color indexed="81"/>
            <rFont val="Tahoma"/>
            <family val="2"/>
          </rPr>
          <t xml:space="preserve">
Gratuity charge during the period</t>
        </r>
      </text>
    </comment>
    <comment ref="H79" authorId="0">
      <text>
        <r>
          <rPr>
            <b/>
            <sz val="9"/>
            <color indexed="81"/>
            <rFont val="Tahoma"/>
            <family val="2"/>
          </rPr>
          <t>Asanka Dhammika Nawarathna:</t>
        </r>
        <r>
          <rPr>
            <sz val="9"/>
            <color indexed="81"/>
            <rFont val="Tahoma"/>
            <family val="2"/>
          </rPr>
          <t xml:space="preserve">
Gratuity paid</t>
        </r>
      </text>
    </comment>
    <comment ref="T79" authorId="0">
      <text>
        <r>
          <rPr>
            <b/>
            <sz val="9"/>
            <color indexed="81"/>
            <rFont val="Tahoma"/>
            <family val="2"/>
          </rPr>
          <t>Asanka Dhammika Nawarathna:</t>
        </r>
        <r>
          <rPr>
            <sz val="9"/>
            <color indexed="81"/>
            <rFont val="Tahoma"/>
            <family val="2"/>
          </rPr>
          <t xml:space="preserve">
Gratuity paid</t>
        </r>
      </text>
    </comment>
  </commentList>
</comments>
</file>

<file path=xl/comments2.xml><?xml version="1.0" encoding="utf-8"?>
<comments xmlns="http://schemas.openxmlformats.org/spreadsheetml/2006/main">
  <authors>
    <author>Asanka Dhammika Nawarathna</author>
  </authors>
  <commentList>
    <comment ref="H13" authorId="0">
      <text>
        <r>
          <rPr>
            <b/>
            <sz val="9"/>
            <color indexed="81"/>
            <rFont val="Tahoma"/>
            <family val="2"/>
          </rPr>
          <t>Asanka Dhammika Nawarathna:</t>
        </r>
        <r>
          <rPr>
            <sz val="9"/>
            <color indexed="81"/>
            <rFont val="Tahoma"/>
            <family val="2"/>
          </rPr>
          <t xml:space="preserve">
Gain or loss on valuation of Held for Traiding assets - PNL charge</t>
        </r>
      </text>
    </comment>
    <comment ref="T13" authorId="0">
      <text>
        <r>
          <rPr>
            <b/>
            <sz val="9"/>
            <color indexed="81"/>
            <rFont val="Tahoma"/>
            <family val="2"/>
          </rPr>
          <t>Asanka Dhammika Nawarathna:</t>
        </r>
        <r>
          <rPr>
            <sz val="9"/>
            <color indexed="81"/>
            <rFont val="Tahoma"/>
            <family val="2"/>
          </rPr>
          <t xml:space="preserve">
Gain or loss on valuation of Held for Traiding assets - PNL charge</t>
        </r>
      </text>
    </comment>
    <comment ref="H18" authorId="0">
      <text>
        <r>
          <rPr>
            <b/>
            <sz val="9"/>
            <color indexed="81"/>
            <rFont val="Tahoma"/>
            <family val="2"/>
          </rPr>
          <t>Asanka Dhammika Nawarathna:</t>
        </r>
        <r>
          <rPr>
            <sz val="9"/>
            <color indexed="81"/>
            <rFont val="Tahoma"/>
            <family val="2"/>
          </rPr>
          <t xml:space="preserve">
Net trading income from  sale of vehicles</t>
        </r>
      </text>
    </comment>
    <comment ref="T18" authorId="0">
      <text>
        <r>
          <rPr>
            <b/>
            <sz val="9"/>
            <color indexed="81"/>
            <rFont val="Tahoma"/>
            <family val="2"/>
          </rPr>
          <t>Asanka Dhammika Nawarathna:</t>
        </r>
        <r>
          <rPr>
            <sz val="9"/>
            <color indexed="81"/>
            <rFont val="Tahoma"/>
            <family val="2"/>
          </rPr>
          <t xml:space="preserve">
Net trading income from  sale of vehicles</t>
        </r>
      </text>
    </comment>
    <comment ref="H31" authorId="0">
      <text>
        <r>
          <rPr>
            <b/>
            <sz val="9"/>
            <color indexed="81"/>
            <rFont val="Tahoma"/>
            <family val="2"/>
          </rPr>
          <t>Asanka Dhammika Nawarathna:</t>
        </r>
        <r>
          <rPr>
            <sz val="9"/>
            <color indexed="81"/>
            <rFont val="Tahoma"/>
            <family val="2"/>
          </rPr>
          <t xml:space="preserve">
Profit or loss on disposal</t>
        </r>
      </text>
    </comment>
    <comment ref="T31" authorId="0">
      <text>
        <r>
          <rPr>
            <b/>
            <sz val="9"/>
            <color indexed="81"/>
            <rFont val="Tahoma"/>
            <family val="2"/>
          </rPr>
          <t>Asanka Dhammika Nawarathna:</t>
        </r>
        <r>
          <rPr>
            <sz val="9"/>
            <color indexed="81"/>
            <rFont val="Tahoma"/>
            <family val="2"/>
          </rPr>
          <t xml:space="preserve">
Profit or loss on disposal</t>
        </r>
      </text>
    </comment>
    <comment ref="H32" authorId="0">
      <text>
        <r>
          <rPr>
            <b/>
            <sz val="9"/>
            <color indexed="81"/>
            <rFont val="Tahoma"/>
            <family val="2"/>
          </rPr>
          <t>Asanka Dhammika Nawarathna:</t>
        </r>
        <r>
          <rPr>
            <sz val="9"/>
            <color indexed="81"/>
            <rFont val="Tahoma"/>
            <family val="2"/>
          </rPr>
          <t xml:space="preserve">
addition</t>
        </r>
      </text>
    </comment>
    <comment ref="T32" authorId="0">
      <text>
        <r>
          <rPr>
            <b/>
            <sz val="9"/>
            <color indexed="81"/>
            <rFont val="Tahoma"/>
            <family val="2"/>
          </rPr>
          <t>Asanka Dhammika Nawarathna:</t>
        </r>
        <r>
          <rPr>
            <sz val="9"/>
            <color indexed="81"/>
            <rFont val="Tahoma"/>
            <family val="2"/>
          </rPr>
          <t xml:space="preserve">
addition</t>
        </r>
      </text>
    </comment>
    <comment ref="H33" authorId="0">
      <text>
        <r>
          <rPr>
            <b/>
            <sz val="9"/>
            <color indexed="81"/>
            <rFont val="Tahoma"/>
            <family val="2"/>
          </rPr>
          <t>Asanka Dhammika Nawarathna:</t>
        </r>
        <r>
          <rPr>
            <sz val="9"/>
            <color indexed="81"/>
            <rFont val="Tahoma"/>
            <family val="2"/>
          </rPr>
          <t xml:space="preserve">
Disposal Cost
</t>
        </r>
      </text>
    </comment>
    <comment ref="T33" authorId="0">
      <text>
        <r>
          <rPr>
            <b/>
            <sz val="9"/>
            <color indexed="81"/>
            <rFont val="Tahoma"/>
            <family val="2"/>
          </rPr>
          <t>Asanka Dhammika Nawarathna:</t>
        </r>
        <r>
          <rPr>
            <sz val="9"/>
            <color indexed="81"/>
            <rFont val="Tahoma"/>
            <family val="2"/>
          </rPr>
          <t xml:space="preserve">
Disposal Cost
</t>
        </r>
      </text>
    </comment>
    <comment ref="H38" authorId="0">
      <text>
        <r>
          <rPr>
            <b/>
            <sz val="9"/>
            <color indexed="81"/>
            <rFont val="Tahoma"/>
            <family val="2"/>
          </rPr>
          <t>Asanka Dhammika Nawarathna:</t>
        </r>
        <r>
          <rPr>
            <sz val="9"/>
            <color indexed="81"/>
            <rFont val="Tahoma"/>
            <family val="2"/>
          </rPr>
          <t xml:space="preserve">
Profit or loss on disposal</t>
        </r>
      </text>
    </comment>
    <comment ref="T38" authorId="0">
      <text>
        <r>
          <rPr>
            <b/>
            <sz val="9"/>
            <color indexed="81"/>
            <rFont val="Tahoma"/>
            <family val="2"/>
          </rPr>
          <t>Asanka Dhammika Nawarathna:</t>
        </r>
        <r>
          <rPr>
            <sz val="9"/>
            <color indexed="81"/>
            <rFont val="Tahoma"/>
            <family val="2"/>
          </rPr>
          <t xml:space="preserve">
Profit or loss on disposal</t>
        </r>
      </text>
    </comment>
    <comment ref="H39" authorId="0">
      <text>
        <r>
          <rPr>
            <b/>
            <sz val="9"/>
            <color indexed="81"/>
            <rFont val="Tahoma"/>
            <family val="2"/>
          </rPr>
          <t>Asanka Dhammika Nawarathna:</t>
        </r>
        <r>
          <rPr>
            <sz val="9"/>
            <color indexed="81"/>
            <rFont val="Tahoma"/>
            <family val="2"/>
          </rPr>
          <t xml:space="preserve">
PPE addition</t>
        </r>
      </text>
    </comment>
    <comment ref="T39" authorId="0">
      <text>
        <r>
          <rPr>
            <b/>
            <sz val="9"/>
            <color indexed="81"/>
            <rFont val="Tahoma"/>
            <family val="2"/>
          </rPr>
          <t>Asanka Dhammika Nawarathna:</t>
        </r>
        <r>
          <rPr>
            <sz val="9"/>
            <color indexed="81"/>
            <rFont val="Tahoma"/>
            <family val="2"/>
          </rPr>
          <t xml:space="preserve">
PPE addition</t>
        </r>
      </text>
    </comment>
    <comment ref="H40" authorId="0">
      <text>
        <r>
          <rPr>
            <b/>
            <sz val="9"/>
            <color indexed="81"/>
            <rFont val="Tahoma"/>
            <family val="2"/>
          </rPr>
          <t>Asanka Dhammika Nawarathna:</t>
        </r>
        <r>
          <rPr>
            <sz val="9"/>
            <color indexed="81"/>
            <rFont val="Tahoma"/>
            <family val="2"/>
          </rPr>
          <t xml:space="preserve">
Disposal Cost
</t>
        </r>
      </text>
    </comment>
    <comment ref="T40" authorId="0">
      <text>
        <r>
          <rPr>
            <b/>
            <sz val="9"/>
            <color indexed="81"/>
            <rFont val="Tahoma"/>
            <family val="2"/>
          </rPr>
          <t>Asanka Dhammika Nawarathna:</t>
        </r>
        <r>
          <rPr>
            <sz val="9"/>
            <color indexed="81"/>
            <rFont val="Tahoma"/>
            <family val="2"/>
          </rPr>
          <t xml:space="preserve">
Disposal Cost
</t>
        </r>
      </text>
    </comment>
    <comment ref="H54" authorId="0">
      <text>
        <r>
          <rPr>
            <b/>
            <sz val="9"/>
            <color indexed="81"/>
            <rFont val="Tahoma"/>
            <family val="2"/>
          </rPr>
          <t>Asanka Dhammika Nawarathna:</t>
        </r>
        <r>
          <rPr>
            <sz val="9"/>
            <color indexed="81"/>
            <rFont val="Tahoma"/>
            <family val="2"/>
          </rPr>
          <t xml:space="preserve">
OD balance</t>
        </r>
      </text>
    </comment>
    <comment ref="T54" authorId="0">
      <text>
        <r>
          <rPr>
            <b/>
            <sz val="9"/>
            <color indexed="81"/>
            <rFont val="Tahoma"/>
            <family val="2"/>
          </rPr>
          <t>Asanka Dhammika Nawarathna:</t>
        </r>
        <r>
          <rPr>
            <sz val="9"/>
            <color indexed="81"/>
            <rFont val="Tahoma"/>
            <family val="2"/>
          </rPr>
          <t xml:space="preserve">
OD balance</t>
        </r>
      </text>
    </comment>
    <comment ref="H60" authorId="0">
      <text>
        <r>
          <rPr>
            <b/>
            <sz val="9"/>
            <color indexed="81"/>
            <rFont val="Tahoma"/>
            <family val="2"/>
          </rPr>
          <t>Asanka Dhammika Nawarathna:</t>
        </r>
        <r>
          <rPr>
            <sz val="9"/>
            <color indexed="81"/>
            <rFont val="Tahoma"/>
            <family val="2"/>
          </rPr>
          <t xml:space="preserve">
Dividend payable</t>
        </r>
      </text>
    </comment>
    <comment ref="T60" authorId="0">
      <text>
        <r>
          <rPr>
            <b/>
            <sz val="9"/>
            <color indexed="81"/>
            <rFont val="Tahoma"/>
            <family val="2"/>
          </rPr>
          <t>Asanka Dhammika Nawarathna:</t>
        </r>
        <r>
          <rPr>
            <sz val="9"/>
            <color indexed="81"/>
            <rFont val="Tahoma"/>
            <family val="2"/>
          </rPr>
          <t xml:space="preserve">
Dividend payable</t>
        </r>
      </text>
    </comment>
    <comment ref="H70" authorId="0">
      <text>
        <r>
          <rPr>
            <b/>
            <sz val="9"/>
            <color indexed="81"/>
            <rFont val="Tahoma"/>
            <family val="2"/>
          </rPr>
          <t>Asanka Dhammika Nawarathna:</t>
        </r>
        <r>
          <rPr>
            <sz val="9"/>
            <color indexed="81"/>
            <rFont val="Tahoma"/>
            <family val="2"/>
          </rPr>
          <t xml:space="preserve">
Income tax paid during the period</t>
        </r>
      </text>
    </comment>
    <comment ref="H78" authorId="0">
      <text>
        <r>
          <rPr>
            <b/>
            <sz val="9"/>
            <color indexed="81"/>
            <rFont val="Tahoma"/>
            <family val="2"/>
          </rPr>
          <t>Asanka Dhammika Nawarathna:</t>
        </r>
        <r>
          <rPr>
            <sz val="9"/>
            <color indexed="81"/>
            <rFont val="Tahoma"/>
            <family val="2"/>
          </rPr>
          <t xml:space="preserve">
Gratuity charge during the period</t>
        </r>
      </text>
    </comment>
    <comment ref="T78" authorId="0">
      <text>
        <r>
          <rPr>
            <b/>
            <sz val="9"/>
            <color indexed="81"/>
            <rFont val="Tahoma"/>
            <family val="2"/>
          </rPr>
          <t>Asanka Dhammika Nawarathna:</t>
        </r>
        <r>
          <rPr>
            <sz val="9"/>
            <color indexed="81"/>
            <rFont val="Tahoma"/>
            <family val="2"/>
          </rPr>
          <t xml:space="preserve">
Gratuity charge during the period</t>
        </r>
      </text>
    </comment>
    <comment ref="H79" authorId="0">
      <text>
        <r>
          <rPr>
            <b/>
            <sz val="9"/>
            <color indexed="81"/>
            <rFont val="Tahoma"/>
            <family val="2"/>
          </rPr>
          <t>Asanka Dhammika Nawarathna:</t>
        </r>
        <r>
          <rPr>
            <sz val="9"/>
            <color indexed="81"/>
            <rFont val="Tahoma"/>
            <family val="2"/>
          </rPr>
          <t xml:space="preserve">
Gratuity paid</t>
        </r>
      </text>
    </comment>
    <comment ref="T79" authorId="0">
      <text>
        <r>
          <rPr>
            <b/>
            <sz val="9"/>
            <color indexed="81"/>
            <rFont val="Tahoma"/>
            <family val="2"/>
          </rPr>
          <t>Asanka Dhammika Nawarathna:</t>
        </r>
        <r>
          <rPr>
            <sz val="9"/>
            <color indexed="81"/>
            <rFont val="Tahoma"/>
            <family val="2"/>
          </rPr>
          <t xml:space="preserve">
Gratuity paid</t>
        </r>
      </text>
    </comment>
  </commentList>
</comments>
</file>

<file path=xl/sharedStrings.xml><?xml version="1.0" encoding="utf-8"?>
<sst xmlns="http://schemas.openxmlformats.org/spreadsheetml/2006/main" count="2384" uniqueCount="980">
  <si>
    <t>EXPLANATORY NOTES</t>
  </si>
  <si>
    <t>1.</t>
  </si>
  <si>
    <t>2.</t>
  </si>
  <si>
    <t>3.</t>
  </si>
  <si>
    <t>4.</t>
  </si>
  <si>
    <t>5.</t>
  </si>
  <si>
    <t>6.</t>
  </si>
  <si>
    <t>All known expenses including management fees and similar expenses have been provided for in these financial statements.</t>
  </si>
  <si>
    <t>7.</t>
  </si>
  <si>
    <t>8.</t>
  </si>
  <si>
    <t>9.</t>
  </si>
  <si>
    <t>10.</t>
  </si>
  <si>
    <t>11.</t>
  </si>
  <si>
    <t>Group</t>
  </si>
  <si>
    <t>Rs. Mn</t>
  </si>
  <si>
    <t>Company</t>
  </si>
  <si>
    <t>The Interim Financial Statements are in compliance with the Sri Lanka Accounting Standard - LKAS 34: Interim Financial Reporting and the provisions of the Companies Act No. 7 of 2007 and provide the information as required in terms of Rule 7.4 of the Colombo Stock Exchange.</t>
  </si>
  <si>
    <t>INFORMATION ON ORDINARY SHARES OF THE COMPANY</t>
  </si>
  <si>
    <t xml:space="preserve">Market Price </t>
  </si>
  <si>
    <t>Rs.</t>
  </si>
  <si>
    <t>Stated Capital</t>
  </si>
  <si>
    <t>Number</t>
  </si>
  <si>
    <t>Ordinary shares</t>
  </si>
  <si>
    <t>Total</t>
  </si>
  <si>
    <t>SHAREHOLDERS' INFORMATION</t>
  </si>
  <si>
    <t>No.</t>
  </si>
  <si>
    <t>Name of the Shareholder</t>
  </si>
  <si>
    <t>No. of Shares</t>
  </si>
  <si>
    <t>%</t>
  </si>
  <si>
    <t xml:space="preserve">People’s Bank </t>
  </si>
  <si>
    <t>National Savings Bank</t>
  </si>
  <si>
    <t>Distilleries Company of Sri Lanka PLC</t>
  </si>
  <si>
    <t>HSBC INTL  Nominees Ltd- Credit Suisse AG Zurich</t>
  </si>
  <si>
    <t>Bank of Ceylon No. 1 Account</t>
  </si>
  <si>
    <t>Bny-CF Ruffer Investment Funds: CF Ruffer Pacific Fund</t>
  </si>
  <si>
    <t>Sanasa Development Bank  Limited</t>
  </si>
  <si>
    <t xml:space="preserve">Waldock Mackenzie Limited/ Capital Alliance Holdings Ltd </t>
  </si>
  <si>
    <t>Ceylon Investment PLC A/C # 01</t>
  </si>
  <si>
    <t>Sampath Bank   Limited A/C No. 1</t>
  </si>
  <si>
    <t>Gampaha District Co-operative Rural Bank  Union Ltd.</t>
  </si>
  <si>
    <t>Ceylon  Guardian Investment Trust PLC A/C # 01</t>
  </si>
  <si>
    <t>NDB Capital Holdings PLC</t>
  </si>
  <si>
    <t xml:space="preserve">Name </t>
  </si>
  <si>
    <t>Position</t>
  </si>
  <si>
    <t>Mr. Gamini Sedara Senarath</t>
  </si>
  <si>
    <t>Chairman</t>
  </si>
  <si>
    <t>Director</t>
  </si>
  <si>
    <t>Mr. Namasivayam Vasantha Kumar</t>
  </si>
  <si>
    <t xml:space="preserve">Mr. Don Padmasiri Kumarage  </t>
  </si>
  <si>
    <t>CEO</t>
  </si>
  <si>
    <t>SELECTED PERFORMANCE INDICATORS</t>
  </si>
  <si>
    <t xml:space="preserve">As at </t>
  </si>
  <si>
    <t>31.03.2011</t>
  </si>
  <si>
    <t>31.03.2013</t>
  </si>
  <si>
    <t>Gross Non-Performing Advances Ratio (%)</t>
  </si>
  <si>
    <t>Interest Margin</t>
  </si>
  <si>
    <t>DEBENTURE INFORMATION</t>
  </si>
  <si>
    <t>Highest</t>
  </si>
  <si>
    <t xml:space="preserve">Lowest </t>
  </si>
  <si>
    <t>Last Traded</t>
  </si>
  <si>
    <t>4 Years - 16.50% p.a. payable semi-annually</t>
  </si>
  <si>
    <t>5 Years - 16.75% p.a. payable semi-annually</t>
  </si>
  <si>
    <t>5 Years - 17.00% p.a. payable annually</t>
  </si>
  <si>
    <t>Interest Rates</t>
  </si>
  <si>
    <t>4 Years - 16.50% p.a. payable semi annually</t>
  </si>
  <si>
    <t>5 Years - 16.75% p.a. payable semi annually</t>
  </si>
  <si>
    <t>6 Months Treasury Bill</t>
  </si>
  <si>
    <t>1 Year Treasury Bill</t>
  </si>
  <si>
    <t>5 Year Treasury Bond</t>
  </si>
  <si>
    <t>Ratios</t>
  </si>
  <si>
    <t>Debt to Equity Ratio (Times)</t>
  </si>
  <si>
    <t>Interest Cover (Times)</t>
  </si>
  <si>
    <t>Quick Asset Ratio (%)</t>
  </si>
  <si>
    <t>Note</t>
  </si>
  <si>
    <t>Debentures were listed on the Debt Securities Main Board of the CSE on the 04th of April 2013. Therefore market prices, current yield and yield to maturity details were not available as at 31st March 2013.</t>
  </si>
  <si>
    <t>INTERIM FINANCIAL STATEMENTS</t>
  </si>
  <si>
    <t>PEOPLE'S LEASING &amp; FINANCE PLC</t>
  </si>
  <si>
    <t xml:space="preserve">Company </t>
  </si>
  <si>
    <t xml:space="preserve">Group </t>
  </si>
  <si>
    <t xml:space="preserve">Interest income </t>
  </si>
  <si>
    <t xml:space="preserve">Net interest income  </t>
  </si>
  <si>
    <t xml:space="preserve">Total operating income  </t>
  </si>
  <si>
    <t xml:space="preserve">Net operating income </t>
  </si>
  <si>
    <t>Less:</t>
  </si>
  <si>
    <t xml:space="preserve">Amortisation and impairment of intangible assets </t>
  </si>
  <si>
    <t xml:space="preserve">Other  operating expenses  </t>
  </si>
  <si>
    <t xml:space="preserve">Total operating expenses  </t>
  </si>
  <si>
    <t xml:space="preserve">Operating profit before value added tax (VAT)  </t>
  </si>
  <si>
    <t xml:space="preserve">Less: Value added tax (VAT)on financial services </t>
  </si>
  <si>
    <t xml:space="preserve">Operating profit after value added tax (VAT)  </t>
  </si>
  <si>
    <t xml:space="preserve">Less: Income tax expense  </t>
  </si>
  <si>
    <t xml:space="preserve">Profit attributable to:  </t>
  </si>
  <si>
    <t xml:space="preserve">Equity holders of the parent </t>
  </si>
  <si>
    <t xml:space="preserve">Less: Tax expense/(income) relating to components of other comprehensive income  </t>
  </si>
  <si>
    <t xml:space="preserve">STATEMENT OF FINANCIAL POSITION </t>
  </si>
  <si>
    <t xml:space="preserve">Assets  </t>
  </si>
  <si>
    <t xml:space="preserve">Cash in hand </t>
  </si>
  <si>
    <t>Loans and receivables</t>
  </si>
  <si>
    <t xml:space="preserve">Investments in subsidiaries  </t>
  </si>
  <si>
    <t xml:space="preserve">Investments in associates </t>
  </si>
  <si>
    <t xml:space="preserve">Goodwill and intangible assets  </t>
  </si>
  <si>
    <t xml:space="preserve">Property, plant and equipment  </t>
  </si>
  <si>
    <t xml:space="preserve">Other assets  </t>
  </si>
  <si>
    <t xml:space="preserve">Total assets </t>
  </si>
  <si>
    <t xml:space="preserve">Liabilities  </t>
  </si>
  <si>
    <t xml:space="preserve">Current tax liabilities  </t>
  </si>
  <si>
    <t xml:space="preserve">Deferred tax liabilities  </t>
  </si>
  <si>
    <t xml:space="preserve">Other liabilities  </t>
  </si>
  <si>
    <t xml:space="preserve">Total liabilities </t>
  </si>
  <si>
    <t xml:space="preserve">Equity  </t>
  </si>
  <si>
    <t xml:space="preserve">Statutory reserve fund </t>
  </si>
  <si>
    <t xml:space="preserve">Retained earnings  </t>
  </si>
  <si>
    <t xml:space="preserve">Other reserves  </t>
  </si>
  <si>
    <t xml:space="preserve">Total equity  </t>
  </si>
  <si>
    <t xml:space="preserve">Other reserves </t>
  </si>
  <si>
    <t xml:space="preserve">Total Equity </t>
  </si>
  <si>
    <t>General Reserves</t>
  </si>
  <si>
    <t xml:space="preserve">Investment Fund </t>
  </si>
  <si>
    <t xml:space="preserve">Available for Sale Reserves </t>
  </si>
  <si>
    <t xml:space="preserve">Retained Earnings </t>
  </si>
  <si>
    <t>Other comprehensive income (net of tax)</t>
  </si>
  <si>
    <t>Transactions with equity holders, recognised directly in equity</t>
  </si>
  <si>
    <t>Transfers to reserves during the period</t>
  </si>
  <si>
    <t>Dividend paid</t>
  </si>
  <si>
    <t xml:space="preserve">CASH FLOW STATEMENT </t>
  </si>
  <si>
    <t xml:space="preserve">Cash flows from operating activities </t>
  </si>
  <si>
    <t xml:space="preserve">Profit before tax </t>
  </si>
  <si>
    <t>Adjustment for:</t>
  </si>
  <si>
    <t xml:space="preserve">   Change in operating assets</t>
  </si>
  <si>
    <t xml:space="preserve">   Change in operating liabilities</t>
  </si>
  <si>
    <t xml:space="preserve">   Dividend income from investments</t>
  </si>
  <si>
    <t xml:space="preserve">   Tax paid</t>
  </si>
  <si>
    <t xml:space="preserve">Net cash generated from operating activities </t>
  </si>
  <si>
    <t>Cash flows from investing activities</t>
  </si>
  <si>
    <t>Purchase of property, plant and equipment</t>
  </si>
  <si>
    <t>Proceeds from the sale of property, plant and equipment</t>
  </si>
  <si>
    <t>Dividends received from investments</t>
  </si>
  <si>
    <t xml:space="preserve">Net cash (used in)/from investing activities </t>
  </si>
  <si>
    <t>Cash flows from financing activities</t>
  </si>
  <si>
    <t>Dividend paid to shareholders</t>
  </si>
  <si>
    <t>Redemption of preference shares</t>
  </si>
  <si>
    <t xml:space="preserve">Net cash from financing activates </t>
  </si>
  <si>
    <t xml:space="preserve">Net increase/(decrease) in cash &amp; cash equivalents </t>
  </si>
  <si>
    <t>Transfer from preference shares on redemption</t>
  </si>
  <si>
    <t>HSBC INTL  NOM Ltd - JPMCB-J.P. Morgan Clearing Corp</t>
  </si>
  <si>
    <t>The Ceylon Chamber of Commerce Account No. 02</t>
  </si>
  <si>
    <t>The above figures are provisional and subject to audit.</t>
  </si>
  <si>
    <t>Figures in brackets indicate deductions</t>
  </si>
  <si>
    <t>Unaudited</t>
  </si>
  <si>
    <t xml:space="preserve">Profit for the period </t>
  </si>
  <si>
    <t>Rs. Mn.</t>
  </si>
  <si>
    <t>Growth</t>
  </si>
  <si>
    <t xml:space="preserve">Other operating income  </t>
  </si>
  <si>
    <t xml:space="preserve">Less: Impairment charges for loans and receivables </t>
  </si>
  <si>
    <t xml:space="preserve">Depreciation of property, plant and equipment </t>
  </si>
  <si>
    <t>Benefits, claims and underwriting expenditure</t>
  </si>
  <si>
    <t>For the three months ended 30th June</t>
  </si>
  <si>
    <t>Profit for the period</t>
  </si>
  <si>
    <t xml:space="preserve">Personnel expenses </t>
  </si>
  <si>
    <t>Total comprehensive income for the period</t>
  </si>
  <si>
    <r>
      <t xml:space="preserve">Other comprehensive income/(expenses) </t>
    </r>
    <r>
      <rPr>
        <b/>
        <sz val="12"/>
        <color rgb="FF000000"/>
        <rFont val="Times New Roman"/>
        <family val="1"/>
      </rPr>
      <t xml:space="preserve"> </t>
    </r>
  </si>
  <si>
    <t xml:space="preserve">Other comprehensive income for the period, net of taxes  </t>
  </si>
  <si>
    <t xml:space="preserve">Gains/ (losses) on re-measuring available-for-sale financial assets </t>
  </si>
  <si>
    <t>Audited</t>
  </si>
  <si>
    <t>Contingencies</t>
  </si>
  <si>
    <t>Capital commitments</t>
  </si>
  <si>
    <t>Net assets value per ordinary share (Rs.)</t>
  </si>
  <si>
    <t>Memorandum Information</t>
  </si>
  <si>
    <t>Number of employees</t>
  </si>
  <si>
    <t>Number of branches</t>
  </si>
  <si>
    <t>CERTIFICATION</t>
  </si>
  <si>
    <t>………………………….</t>
  </si>
  <si>
    <t>Chief Financial Officer</t>
  </si>
  <si>
    <t>The Board of Directors is responsible for the preparation and presentation of these Interim Financial Statements.</t>
  </si>
  <si>
    <t>Approved and Signed for and on behalf of the Board:</t>
  </si>
  <si>
    <t>Chief Executive Officer</t>
  </si>
  <si>
    <t>Colombo.</t>
  </si>
  <si>
    <t>Figures in brackets indicate deductions.</t>
  </si>
  <si>
    <t xml:space="preserve">Financial investments - held-for-trading  </t>
  </si>
  <si>
    <t>Investment property</t>
  </si>
  <si>
    <t>Capital</t>
  </si>
  <si>
    <t xml:space="preserve">Total liabilities and equities </t>
  </si>
  <si>
    <t>STATEMENT OF CHANGES IN EQUITY - COMPANY</t>
  </si>
  <si>
    <t xml:space="preserve">Statutory Reserve Fund </t>
  </si>
  <si>
    <t>Tax Equalisation Fund</t>
  </si>
  <si>
    <t xml:space="preserve">Rs. Mn. </t>
  </si>
  <si>
    <t>STATEMENT OF CHANGES IN EQUITY - GROUP</t>
  </si>
  <si>
    <t xml:space="preserve">   Gratuity paid</t>
  </si>
  <si>
    <t xml:space="preserve">Cash and cash equivalents at the end of the period </t>
  </si>
  <si>
    <t>Cash and cash equivalents at the beginning of the period</t>
  </si>
  <si>
    <t>Overdraft</t>
  </si>
  <si>
    <t>Lease &amp; Advances</t>
  </si>
  <si>
    <t>Insurance</t>
  </si>
  <si>
    <t>Other</t>
  </si>
  <si>
    <t>Eliminations</t>
  </si>
  <si>
    <t xml:space="preserve">Net earned premiums </t>
  </si>
  <si>
    <t xml:space="preserve">Net fee and commission income  </t>
  </si>
  <si>
    <t xml:space="preserve">Other operating income </t>
  </si>
  <si>
    <t xml:space="preserve">Profit attributable to equity holder </t>
  </si>
  <si>
    <t>Segment Assets</t>
  </si>
  <si>
    <t xml:space="preserve">Total Assets </t>
  </si>
  <si>
    <t>Segment Liabilities</t>
  </si>
  <si>
    <t xml:space="preserve">Total Liability </t>
  </si>
  <si>
    <t xml:space="preserve">Cash flow from operating activities </t>
  </si>
  <si>
    <t xml:space="preserve">Cash flow from investing activities </t>
  </si>
  <si>
    <t xml:space="preserve">Cash flow from financing activities </t>
  </si>
  <si>
    <t xml:space="preserve">Capital Expenditure </t>
  </si>
  <si>
    <t>SEGMENTAL ANALYSIS - GROUP</t>
  </si>
  <si>
    <t>Total shareholders' equity</t>
  </si>
  <si>
    <t>Non-controllinh interest</t>
  </si>
  <si>
    <t>Contingent liabilities</t>
  </si>
  <si>
    <t>PLC</t>
  </si>
  <si>
    <t>Property</t>
  </si>
  <si>
    <t>Havelock</t>
  </si>
  <si>
    <t>Micro</t>
  </si>
  <si>
    <t>Not traded during the period</t>
  </si>
  <si>
    <t>Debenture Type</t>
  </si>
  <si>
    <t>31.12.2010</t>
  </si>
  <si>
    <t>31.12.2011</t>
  </si>
  <si>
    <t>Current Month</t>
  </si>
  <si>
    <t xml:space="preserve">Gross Non-Performing Advances Ratio </t>
  </si>
  <si>
    <t>NP Portfolio (net of Interest In Suspense and Unearned Income)</t>
  </si>
  <si>
    <t>Gross Portfolio (net of Interest In Suspense and Unearned Income)</t>
  </si>
  <si>
    <t>31.12.10</t>
  </si>
  <si>
    <t>NP portfolio</t>
  </si>
  <si>
    <t>Loans NP</t>
  </si>
  <si>
    <t>Capital Receivable  NP</t>
  </si>
  <si>
    <t>Interest receivable NP</t>
  </si>
  <si>
    <t>Less: Interest in suspense</t>
  </si>
  <si>
    <t xml:space="preserve">        Prepaid Rentals</t>
  </si>
  <si>
    <t>Lease</t>
  </si>
  <si>
    <t>Gross Lease  Rentals Receivable - NP</t>
  </si>
  <si>
    <t>Less:  Unearned Interest - NP</t>
  </si>
  <si>
    <t xml:space="preserve">           Due Income in Suspense</t>
  </si>
  <si>
    <t xml:space="preserve"> </t>
  </si>
  <si>
    <t>HP</t>
  </si>
  <si>
    <t>Gross Hire Purchase Installments Receivable - NP</t>
  </si>
  <si>
    <t>Less:  Unearned Interest HP - NP</t>
  </si>
  <si>
    <t xml:space="preserve">            Due Income in Suspense</t>
  </si>
  <si>
    <t xml:space="preserve"> Ijarah</t>
  </si>
  <si>
    <t>Insurance Rental Receivable - NP</t>
  </si>
  <si>
    <t>Less: Unearned Ijarah Income - NP</t>
  </si>
  <si>
    <t xml:space="preserve">INSURANCE RENTALS  RECEIVABLE </t>
  </si>
  <si>
    <t xml:space="preserve">  Less;-        Earned Insurance Income Suspense</t>
  </si>
  <si>
    <t xml:space="preserve">          Insurance in Suspense</t>
  </si>
  <si>
    <t>Term loan murabaha</t>
  </si>
  <si>
    <t>NP</t>
  </si>
  <si>
    <t>unearned interest</t>
  </si>
  <si>
    <t>BBA</t>
  </si>
  <si>
    <t>Less: Unearned income- NP</t>
  </si>
  <si>
    <t>Due income in suspense</t>
  </si>
  <si>
    <t>Gross portfolio</t>
  </si>
  <si>
    <t xml:space="preserve">Loans </t>
  </si>
  <si>
    <t>Gross</t>
  </si>
  <si>
    <t>Less:   Due Income in Suspense</t>
  </si>
  <si>
    <t>Staff loans</t>
  </si>
  <si>
    <t>Term loan Murabha</t>
  </si>
  <si>
    <t>Term Loan Murabah</t>
  </si>
  <si>
    <t>Less:  Due Income in Suspense</t>
  </si>
  <si>
    <t>Gross Lease  Rentals Receivable</t>
  </si>
  <si>
    <t>Less:  Unearned Interest - P</t>
  </si>
  <si>
    <t xml:space="preserve">         Unearned Interest - NP</t>
  </si>
  <si>
    <t xml:space="preserve">         Due Income in Suspense</t>
  </si>
  <si>
    <t xml:space="preserve">Gross Hire Purchase Installments Receivable </t>
  </si>
  <si>
    <t>Less :   Unearned Interest HP - P</t>
  </si>
  <si>
    <t xml:space="preserve">         Unearned Interest HP - NP</t>
  </si>
  <si>
    <t>Ijarah</t>
  </si>
  <si>
    <t xml:space="preserve">Gross Ijarah Rental Receivable </t>
  </si>
  <si>
    <t>Less:  Unearned Ijarah Income -P</t>
  </si>
  <si>
    <t xml:space="preserve">          Unearned Ijarah Income - NP</t>
  </si>
  <si>
    <t>Ijarah insurance receivable</t>
  </si>
  <si>
    <t xml:space="preserve">Insurance Rental Receivable </t>
  </si>
  <si>
    <t>Less: Unearned Insurance Income</t>
  </si>
  <si>
    <t xml:space="preserve">          Earned Insurance Income Suspense</t>
  </si>
  <si>
    <t>Murabaha (BBA) Rental Receivable</t>
  </si>
  <si>
    <t>Less: Unearned BBA Income</t>
  </si>
  <si>
    <t>30.09.2012</t>
  </si>
  <si>
    <t>Net Non Performing Advances Ratio</t>
  </si>
  <si>
    <t>NP Portfolio (net of Interest In Suspense, Unearned Income and Provision)</t>
  </si>
  <si>
    <t>Gross Portfolio (net of Interest In Suspense, Unearned Income and Provision)</t>
  </si>
  <si>
    <t xml:space="preserve">         Provision- Specific</t>
  </si>
  <si>
    <t xml:space="preserve">         Provision- General</t>
  </si>
  <si>
    <t>Rental Receivable - NP</t>
  </si>
  <si>
    <t>Less:  provision</t>
  </si>
  <si>
    <t>Interest cover</t>
  </si>
  <si>
    <t>PBIT</t>
  </si>
  <si>
    <t xml:space="preserve">                                                                          Annualised</t>
  </si>
  <si>
    <t>Interest exp</t>
  </si>
  <si>
    <t>profit paid to investors</t>
  </si>
  <si>
    <t>PBT</t>
  </si>
  <si>
    <t>Interest</t>
  </si>
  <si>
    <t>ROA</t>
  </si>
  <si>
    <t>Avg assets</t>
  </si>
  <si>
    <t>avg</t>
  </si>
  <si>
    <t>ROE</t>
  </si>
  <si>
    <t>SH fund  avg</t>
  </si>
  <si>
    <t>Pref div</t>
  </si>
  <si>
    <t>SH fund                         OP</t>
  </si>
  <si>
    <t xml:space="preserve">                                       CL</t>
  </si>
  <si>
    <t>Debt: Equity</t>
  </si>
  <si>
    <t>Debt</t>
  </si>
  <si>
    <t>Bank OD</t>
  </si>
  <si>
    <t>Borrowings</t>
  </si>
  <si>
    <t>Other liabilities</t>
  </si>
  <si>
    <t>Samurdhi</t>
  </si>
  <si>
    <t>Share Capital</t>
  </si>
  <si>
    <t>SH fund</t>
  </si>
  <si>
    <t>Net interest</t>
  </si>
  <si>
    <t>Avg interest earning assets</t>
  </si>
  <si>
    <t>OP</t>
  </si>
  <si>
    <t>Repo</t>
  </si>
  <si>
    <t>Loans &amp; other advances</t>
  </si>
  <si>
    <t>Rentals receivable- lease, HP &amp; Islamic</t>
  </si>
  <si>
    <t>Deposits with bank &amp; financial institutions</t>
  </si>
  <si>
    <t>CL</t>
  </si>
  <si>
    <t>Assets Op</t>
  </si>
  <si>
    <t xml:space="preserve">            Cl</t>
  </si>
  <si>
    <t xml:space="preserve">   Non-cash items included in profit before tax</t>
  </si>
  <si>
    <t>Current Yield</t>
  </si>
  <si>
    <t>Annual coupon</t>
  </si>
  <si>
    <t>( Above rates are excluding 10% withholding tax)</t>
  </si>
  <si>
    <t>Coupon Rate          (%)</t>
  </si>
  <si>
    <t>Net earned premiums</t>
  </si>
  <si>
    <t>EPS</t>
  </si>
  <si>
    <t xml:space="preserve">Net Assets </t>
  </si>
  <si>
    <t xml:space="preserve">Other Reserves </t>
  </si>
  <si>
    <t xml:space="preserve">Issue of shares </t>
  </si>
  <si>
    <t>Fixed Assets purchases</t>
  </si>
  <si>
    <t>Fleet</t>
  </si>
  <si>
    <t>PIL</t>
  </si>
  <si>
    <t>Disposals</t>
  </si>
  <si>
    <t>Tax paid</t>
  </si>
  <si>
    <t>P/L</t>
  </si>
  <si>
    <t>Less: Interest expense</t>
  </si>
  <si>
    <t>Net fee and commission income</t>
  </si>
  <si>
    <t>Balance as at 01.04.2013</t>
  </si>
  <si>
    <t>Current yeild</t>
  </si>
  <si>
    <t>Current price</t>
  </si>
  <si>
    <t>YTM</t>
  </si>
  <si>
    <t>coupon + (face value- price/n)</t>
  </si>
  <si>
    <t>(face value+ price/ 2)</t>
  </si>
  <si>
    <t>n= years to maturity</t>
  </si>
  <si>
    <t>Opening Shareholders' equity</t>
  </si>
  <si>
    <t>Closing Shareholders' equity</t>
  </si>
  <si>
    <t>Annualized</t>
  </si>
  <si>
    <t>Average</t>
  </si>
  <si>
    <t>Net profit for the Period</t>
  </si>
  <si>
    <t>ROA (Before tax)</t>
  </si>
  <si>
    <t>Opening total assets</t>
  </si>
  <si>
    <t>Closing total assets</t>
  </si>
  <si>
    <t>INCOME STATEMENT - COMPANY</t>
  </si>
  <si>
    <t>For the quarter ended</t>
  </si>
  <si>
    <t>30.09.2013</t>
  </si>
  <si>
    <t>INCOME STATEMENT - GROUP</t>
  </si>
  <si>
    <t>For the six months ended</t>
  </si>
  <si>
    <t>STATEMENT OF COMPREHENSIVE INCOME - COMPANY</t>
  </si>
  <si>
    <t>STATEMENT OF COMPREHENSIVE INCOME - GROUP</t>
  </si>
  <si>
    <t>Earnings per share</t>
  </si>
  <si>
    <t xml:space="preserve">Earnings per share </t>
  </si>
  <si>
    <t>AIA Insurance Lanka PLC A/C No. 07</t>
  </si>
  <si>
    <t>David Pieris Motor Company Limited</t>
  </si>
  <si>
    <t>Mr. Piyadasa Kudabalage</t>
  </si>
  <si>
    <t>Mr. Heyara Hewage Anura Chandrasiri</t>
  </si>
  <si>
    <t>The consolidated financial statements of the Company comprise of the Company and its subsidiaries: People’s Leasing Property Development Limited, People’s Leasing Fleet Management Limited,  People’s Insurance Limited, People's Leasing Havelock Properties Limited, People's Microfinance Limited and the Group's interest in its associate: City Finance Corporation Limited (formerly known as Industrial Finance Limited).</t>
  </si>
  <si>
    <t>Required Minimum Amount of Liquid Assets</t>
  </si>
  <si>
    <t>Available Amount of Liquid Assets</t>
  </si>
  <si>
    <t>Required Minimum Amount of Government Securities</t>
  </si>
  <si>
    <t>Available Amount of Government Securities</t>
  </si>
  <si>
    <t>6 months ended</t>
  </si>
  <si>
    <t>3 months ended</t>
  </si>
  <si>
    <t>GEARING</t>
  </si>
  <si>
    <t>31.08.2013</t>
  </si>
  <si>
    <t>Debentures</t>
  </si>
  <si>
    <t>Term loans</t>
  </si>
  <si>
    <t>Refinance loans</t>
  </si>
  <si>
    <t>Securitization</t>
  </si>
  <si>
    <t>Short term borrowings</t>
  </si>
  <si>
    <t>Deposits</t>
  </si>
  <si>
    <t>Bank overdraft</t>
  </si>
  <si>
    <t>Prefernce shares</t>
  </si>
  <si>
    <t>SH Fund</t>
  </si>
  <si>
    <t>Ratio</t>
  </si>
  <si>
    <t xml:space="preserve">Net Interest </t>
  </si>
  <si>
    <t>Average Interest earning assets</t>
  </si>
  <si>
    <t>Interest earning assets</t>
  </si>
  <si>
    <t>Portfolio</t>
  </si>
  <si>
    <t>T bills &amp; bonds</t>
  </si>
  <si>
    <t>Balances with banks</t>
  </si>
  <si>
    <t>Closing</t>
  </si>
  <si>
    <t>Opening</t>
  </si>
  <si>
    <t>S/w</t>
  </si>
  <si>
    <t>Change</t>
  </si>
  <si>
    <t>Market Prices for the six months ended 30th September 2013</t>
  </si>
  <si>
    <t>Current Yield (%)</t>
  </si>
  <si>
    <t>Yield to Maturity   (%)</t>
  </si>
  <si>
    <t>Current Yield &amp; Yield to Maturity for the six months ended 30th September 2013</t>
  </si>
  <si>
    <t>Annual Effective Rate          (%)</t>
  </si>
  <si>
    <t xml:space="preserve">Current Yield &amp; Yield to Maturity </t>
  </si>
  <si>
    <t>Current Yield                  (%)</t>
  </si>
  <si>
    <t>Interest Rates of Comparable Government Securities</t>
  </si>
  <si>
    <t>Diff</t>
  </si>
  <si>
    <t>Yield to Maturity        (%)</t>
  </si>
  <si>
    <t>Basic earnings per ordinary share (Rs.)</t>
  </si>
  <si>
    <t>31.03.2012</t>
  </si>
  <si>
    <t xml:space="preserve">Impairment charges for loans and receivables </t>
  </si>
  <si>
    <t>Disposal loss/written offs</t>
  </si>
  <si>
    <t>Impairment &amp; Disposal Loss</t>
  </si>
  <si>
    <t>For the three months ended</t>
  </si>
  <si>
    <t xml:space="preserve">Net cash (used in) financing activities </t>
  </si>
  <si>
    <t>31.12.2013</t>
  </si>
  <si>
    <t>31.12.2012</t>
  </si>
  <si>
    <t>Difference</t>
  </si>
  <si>
    <t>As per BS</t>
  </si>
  <si>
    <t>Balance as per BS</t>
  </si>
  <si>
    <t>The Ceylon Guardian Investment Trust PLC A/C # 02</t>
  </si>
  <si>
    <t>As at 30th September 2013</t>
  </si>
  <si>
    <t>As at 30th September 2012</t>
  </si>
  <si>
    <t>16.75+(100-108.61/4.25)</t>
  </si>
  <si>
    <t>(100+108.61/2)</t>
  </si>
  <si>
    <t>Capital Contribution Reserve</t>
  </si>
  <si>
    <t>As at</t>
  </si>
  <si>
    <t xml:space="preserve">Less: Value added tax (VAT) on financial services </t>
  </si>
  <si>
    <t>2013 Dec</t>
  </si>
  <si>
    <t>2012 Dec</t>
  </si>
  <si>
    <t>Transfers to capital contribution reserve</t>
  </si>
  <si>
    <t xml:space="preserve">Total liabilities and equity </t>
  </si>
  <si>
    <t>General Reserve</t>
  </si>
  <si>
    <t>Available for Sale Reserve</t>
  </si>
  <si>
    <t xml:space="preserve">Available for Sale Reserve </t>
  </si>
  <si>
    <t>31.03.2014</t>
  </si>
  <si>
    <t>I certify that the above Interim Financial Statements are in compliance with the requirements of the Companies Act No. 7 of 2007 and give a true and fair view of the state of affairs of People's Leasing &amp; Finance PLC and the Group as at 31st March 2014 and its profit for the twelve months ended  31st March 2014.</t>
  </si>
  <si>
    <t>31 April 2014</t>
  </si>
  <si>
    <t>Balance as at 31.03.2014</t>
  </si>
  <si>
    <t>Profit for the nine months ended 31.03.2014</t>
  </si>
  <si>
    <t xml:space="preserve">Actuarial gains and losses on defined benefit plans  </t>
  </si>
  <si>
    <t xml:space="preserve">Gains and losses on derivative financial Assets  </t>
  </si>
  <si>
    <t>Cash  and cash equivalents</t>
  </si>
  <si>
    <t xml:space="preserve">Other balances with  banks &amp; financial institutions  </t>
  </si>
  <si>
    <t xml:space="preserve">Derivative financial instrument </t>
  </si>
  <si>
    <t>Insurance and reinsurance receivables</t>
  </si>
  <si>
    <t xml:space="preserve">Financial investments – Available-for-sale  </t>
  </si>
  <si>
    <t xml:space="preserve">Financial investments – Held-to-maturity  </t>
  </si>
  <si>
    <t>Due to banks</t>
  </si>
  <si>
    <t>Due to customers</t>
  </si>
  <si>
    <t>Debt Securities issued</t>
  </si>
  <si>
    <t xml:space="preserve">Other  Financial liabilities </t>
  </si>
  <si>
    <t xml:space="preserve">Insurance and reinsurance payable </t>
  </si>
  <si>
    <t>Issued Capital</t>
  </si>
  <si>
    <t>Cash Flow Hedge Reserve</t>
  </si>
  <si>
    <t xml:space="preserve">Financial assets held-for-trading  </t>
  </si>
  <si>
    <t>Minority interest</t>
  </si>
  <si>
    <t>Restated</t>
  </si>
  <si>
    <t>Non-controlling 
Interest</t>
  </si>
  <si>
    <t xml:space="preserve">Disposal of changes in holding </t>
  </si>
  <si>
    <t>31.12.2014</t>
  </si>
  <si>
    <t>Purchase of intangible assets</t>
  </si>
  <si>
    <t>Islamic</t>
  </si>
  <si>
    <t>Commitments</t>
  </si>
  <si>
    <t>Basic/Diluted earnings per ordinary share (Rs.)</t>
  </si>
  <si>
    <t>Employees Provident Fund</t>
  </si>
  <si>
    <t>Northern Trust Global Services Luxembourg S/A Ashmore Sicav Indian Small-Ca</t>
  </si>
  <si>
    <t>4 Year Treasury Bond</t>
  </si>
  <si>
    <t>Memorandum information</t>
  </si>
  <si>
    <t>Number of service centers</t>
  </si>
  <si>
    <t>Number of pawning centers</t>
  </si>
  <si>
    <t>Gross revenue</t>
  </si>
  <si>
    <t>Total Operating income</t>
  </si>
  <si>
    <t xml:space="preserve">Credit losess </t>
  </si>
  <si>
    <t xml:space="preserve">Segment result </t>
  </si>
  <si>
    <t xml:space="preserve">Income tax expenses </t>
  </si>
  <si>
    <t xml:space="preserve">Lease &amp; HP </t>
  </si>
  <si>
    <t>Non-controlling interest</t>
  </si>
  <si>
    <t xml:space="preserve">Value added tax (VAT)on financial services </t>
  </si>
  <si>
    <t xml:space="preserve">VAT on financial services </t>
  </si>
  <si>
    <t>For the year ended 30th June 2014</t>
  </si>
  <si>
    <t>30.06.2014</t>
  </si>
  <si>
    <t>Total comprehensive income for the three months ended 30.06.2014</t>
  </si>
  <si>
    <t>Profit for the three months ended 30.06.2014</t>
  </si>
  <si>
    <t>Balance as at 30.06.2013</t>
  </si>
  <si>
    <t>Total comprehensive income for the three months ended 30.06.2013</t>
  </si>
  <si>
    <t>Profit for the three months ended 30.06.2013</t>
  </si>
  <si>
    <t>Balance as at 01.04.2014</t>
  </si>
  <si>
    <t>Balance as at 30.06.2014</t>
  </si>
  <si>
    <t>Profit for the three month ended 30.06.2014</t>
  </si>
  <si>
    <t>For the three Months ended 30th June</t>
  </si>
  <si>
    <t xml:space="preserve">Highest price during the quarter ended 30th June : </t>
  </si>
  <si>
    <t xml:space="preserve">Lowest price during the quarter ended 30th June : </t>
  </si>
  <si>
    <t xml:space="preserve">Closing price as at 30th June : </t>
  </si>
  <si>
    <t>Stated Capital as at 30th June 2014 was represented by the number of shares in issue as given below;</t>
  </si>
  <si>
    <t>As at 30th June 2014</t>
  </si>
  <si>
    <t>As at 30th June 2013</t>
  </si>
  <si>
    <t>Twenty Largest Ordinary Shareholders as at 30th June 2014</t>
  </si>
  <si>
    <t>Twenty largest ordinary shareholders of the Company as at 30th June 2014 were as follows;</t>
  </si>
  <si>
    <t>The percentage of ordinary shares held by the public as at 30th June 2014 was 24.85%.</t>
  </si>
  <si>
    <t>Directors'/ CEO's Holding in Shares as at 30th June 2014</t>
  </si>
  <si>
    <t>Market Prices for the quarter ended 30th June 2014</t>
  </si>
  <si>
    <t>30.06.2013</t>
  </si>
  <si>
    <t>310.03.2013</t>
  </si>
  <si>
    <t>Balance as at 1.04.2014</t>
  </si>
  <si>
    <t>Total comprehensive income for the nine months ended 31.03.2014</t>
  </si>
  <si>
    <t>Balance as at 01.07.2013</t>
  </si>
  <si>
    <t>Balance as at 31 March 2014</t>
  </si>
  <si>
    <t>Accidents of leased out vehicles</t>
  </si>
  <si>
    <t xml:space="preserve">Guarantees - Related parties </t>
  </si>
  <si>
    <t>Guarantees - Others</t>
  </si>
  <si>
    <t xml:space="preserve">Pending bill retirements </t>
  </si>
  <si>
    <t>Capital Commitments</t>
  </si>
  <si>
    <t>Approved and contracted for</t>
  </si>
  <si>
    <t>Approved but not contracted for</t>
  </si>
  <si>
    <t>Un-utilised facilities</t>
  </si>
  <si>
    <t>Margin trading</t>
  </si>
  <si>
    <t>For the year ended 30th June</t>
  </si>
  <si>
    <t>K.S. Bandaranayake</t>
  </si>
  <si>
    <t>D.P. Kumarage</t>
  </si>
  <si>
    <t>HSBC</t>
  </si>
  <si>
    <t>PB</t>
  </si>
  <si>
    <t>For the three months ended 30th June 2014</t>
  </si>
  <si>
    <r>
      <rPr>
        <b/>
        <sz val="24"/>
        <color rgb="FF231F20"/>
        <rFont val="Book Antiqua"/>
        <family val="1"/>
      </rPr>
      <t xml:space="preserve">INTERIM
</t>
    </r>
    <r>
      <rPr>
        <b/>
        <sz val="20"/>
        <color rgb="FF00AEEF"/>
        <rFont val="Book Antiqua"/>
        <family val="1"/>
      </rPr>
      <t xml:space="preserve">FINANCIAL
</t>
    </r>
    <r>
      <rPr>
        <b/>
        <u/>
        <sz val="16"/>
        <color rgb="FF91D7E8"/>
        <rFont val="Book Antiqua"/>
        <family val="1"/>
      </rPr>
      <t>STATEMENTS</t>
    </r>
  </si>
  <si>
    <r>
      <rPr>
        <b/>
        <u/>
        <sz val="14"/>
        <color rgb="FF231F20"/>
        <rFont val="Book Antiqua"/>
        <family val="1"/>
      </rPr>
      <t>STATEMENT OF FINANCIAL POSITION</t>
    </r>
  </si>
  <si>
    <r>
      <t xml:space="preserve">Other comprehensive income/(expenses) </t>
    </r>
    <r>
      <rPr>
        <b/>
        <sz val="12"/>
        <color rgb="FF000000"/>
        <rFont val="Book Antiqua"/>
        <family val="1"/>
      </rPr>
      <t xml:space="preserve"> </t>
    </r>
  </si>
  <si>
    <t>Total transactions with equity holders</t>
  </si>
  <si>
    <t>There are no significant changes in the accounting policies and methods of computation since the publication of financial statements in the annual report for the year 2013/14.</t>
  </si>
  <si>
    <t xml:space="preserve">During the three month ended 30th June 2014 the Company redeemed 5,000,000 preference shares at Rs. 10/- each on 30th April 2014. </t>
  </si>
  <si>
    <t>The Company  paid  a final dividend of Rs. 0.50 (Cents Fifty) per share totaling to Rs. 789.9 million  for the financial year 2013/14 on 8th July 2014.</t>
  </si>
  <si>
    <r>
      <t>Profitability</t>
    </r>
    <r>
      <rPr>
        <sz val="12"/>
        <rFont val="Book Antiqua"/>
        <family val="1"/>
      </rPr>
      <t xml:space="preserve"> </t>
    </r>
    <r>
      <rPr>
        <i/>
        <sz val="12"/>
        <rFont val="Book Antiqua"/>
        <family val="1"/>
      </rPr>
      <t>(Annualized)</t>
    </r>
  </si>
  <si>
    <t>Contents</t>
  </si>
  <si>
    <t>Financial Information</t>
  </si>
  <si>
    <t>01</t>
  </si>
  <si>
    <t>Statement of Financial Position</t>
  </si>
  <si>
    <t>02</t>
  </si>
  <si>
    <t>03</t>
  </si>
  <si>
    <t>04</t>
  </si>
  <si>
    <t>05</t>
  </si>
  <si>
    <t>Statement of Changes in Equity - Group</t>
  </si>
  <si>
    <t>Statement of Changes in Equity - Company</t>
  </si>
  <si>
    <t>Cash Flow Statement</t>
  </si>
  <si>
    <t>Segmental Analysis</t>
  </si>
  <si>
    <t>Information on Ordinary Shares of the Company</t>
  </si>
  <si>
    <t>Shareholders' Information</t>
  </si>
  <si>
    <t>Explanatory Notes</t>
  </si>
  <si>
    <t>Debenture Information</t>
  </si>
  <si>
    <t>Selected Performance Indicators</t>
  </si>
  <si>
    <t>06</t>
  </si>
  <si>
    <t>07</t>
  </si>
  <si>
    <t>08</t>
  </si>
  <si>
    <t>09</t>
  </si>
  <si>
    <t>10</t>
  </si>
  <si>
    <t>11</t>
  </si>
  <si>
    <t>12</t>
  </si>
  <si>
    <t>INCOME STATEMENT</t>
  </si>
  <si>
    <t>STATEMENT OF COMPREHENSIVE INCOME</t>
  </si>
  <si>
    <t>2014</t>
  </si>
  <si>
    <t>2013</t>
  </si>
  <si>
    <t xml:space="preserve">Balances with banks &amp; financial institutions  </t>
  </si>
  <si>
    <t xml:space="preserve">Deravative financial  instrument </t>
  </si>
  <si>
    <t xml:space="preserve">Depreciation of property, plant and equipment  </t>
  </si>
  <si>
    <t xml:space="preserve">Amortisation of intangible assets  </t>
  </si>
  <si>
    <t xml:space="preserve">Impairment losses on loans and advances  </t>
  </si>
  <si>
    <t xml:space="preserve">Charge for defined benefit plans  </t>
  </si>
  <si>
    <t xml:space="preserve">Gain/(Loss) on sale of property, plant and equipment  </t>
  </si>
  <si>
    <t>Net trading income from  sale of vehicles</t>
  </si>
  <si>
    <t>Gain/(Loss) on equities</t>
  </si>
  <si>
    <t xml:space="preserve">NON- CASH ITEMS INCLUDED IN PROFIT BEFORE TAX </t>
  </si>
  <si>
    <t xml:space="preserve">CHANGE IN OPERATING ASSETS  </t>
  </si>
  <si>
    <t>Net (increase)/decrease in other balances with bank &amp; financial institutions</t>
  </si>
  <si>
    <t>Net (increase)/decrease in financial assets held for trading</t>
  </si>
  <si>
    <t>Net (increase)/decrease in loans and receivables</t>
  </si>
  <si>
    <t xml:space="preserve">Net (increase)/decrease in derivative financial instrument </t>
  </si>
  <si>
    <t>Net (increase)/decrease in insurance and reinsurance receivables</t>
  </si>
  <si>
    <t>Net (increase)/decrease in financial investment available for sale</t>
  </si>
  <si>
    <t>Net (increase)/decrease in financial investment held to maturity</t>
  </si>
  <si>
    <t>Net (increase)/decrease in other assets</t>
  </si>
  <si>
    <t xml:space="preserve">CHANGE IN OPERATING LIABILITIES  </t>
  </si>
  <si>
    <t>Net increase/(decrease) in due to customers</t>
  </si>
  <si>
    <t>Net increase/(decrease) in other financial liabilities</t>
  </si>
  <si>
    <t>Net increase/(decrease) in insurance and reinsurance payables</t>
  </si>
  <si>
    <t>Net increase/(decrease) in other liabilities</t>
  </si>
  <si>
    <t>For the three months ended 31st March</t>
  </si>
  <si>
    <t>Net increase/(decrease) in due to banks</t>
  </si>
  <si>
    <t>Net increase/(decrease) in due to debt securities</t>
  </si>
  <si>
    <t>Insuarance</t>
  </si>
  <si>
    <t>Loan</t>
  </si>
  <si>
    <t>Ilamic</t>
  </si>
  <si>
    <t>Cost</t>
  </si>
  <si>
    <t>Acc Dep</t>
  </si>
  <si>
    <t>Profit</t>
  </si>
  <si>
    <t>cash</t>
  </si>
  <si>
    <t>WIP additions</t>
  </si>
  <si>
    <t>Debt securities issued</t>
  </si>
  <si>
    <t xml:space="preserve">Other financial liabilities </t>
  </si>
  <si>
    <t>The Interim Financial Statements for the three months ended 30th June 2014 are drawn up from unaudited accounts of the Company, its subsidiary companies and its associate.</t>
  </si>
  <si>
    <t>Mr. Palihadawana Arachchige Irenius Sririnimal Perera was retired from the office of Non-Executive Independent Director of the Company upon reaching the age of 70 years on 28th June 2014.</t>
  </si>
  <si>
    <t>Mr. Sidath Sri Vidanage Fernando and Mr. Kuttikanelage Vidanelage Nihal Jayawardene were appointed to the Board of the Company as Independent Non-Executive Directors with effect from 3rd July 2014.</t>
  </si>
  <si>
    <t>There have been no material events subsequent to the reporting date, which require adjustments to or disclosures in the interim financial statements.</t>
  </si>
  <si>
    <t>Balance as at 01.04.2013 - Restated</t>
  </si>
  <si>
    <t>Mr. Sidath Sri Vidanage Fernando</t>
  </si>
  <si>
    <t>Mr. Kuttikanelage Vidanelage Nihal Jayawardene</t>
  </si>
  <si>
    <t>% as at 31 3 2014</t>
  </si>
  <si>
    <t>Bal as at 31 03 2014</t>
  </si>
  <si>
    <t>Names as at 31 03 2014</t>
  </si>
  <si>
    <t xml:space="preserve">Net borrowings </t>
  </si>
  <si>
    <t xml:space="preserve">Interest expenses </t>
  </si>
  <si>
    <t xml:space="preserve">Net cash (used in) investing activities </t>
  </si>
  <si>
    <t xml:space="preserve">Credit losses </t>
  </si>
  <si>
    <t>Total Liabilities</t>
  </si>
  <si>
    <t>Northern Trust Global Services Luxembourg S/A Ashmore Sicav Indian Small-Cap Equity Fund</t>
  </si>
  <si>
    <t xml:space="preserve">Has not been traded </t>
  </si>
  <si>
    <t>Has not been traded</t>
  </si>
  <si>
    <t>As at 30.06.2014</t>
  </si>
  <si>
    <t>As at 31.03.2014</t>
  </si>
  <si>
    <t>NAPS</t>
  </si>
  <si>
    <t xml:space="preserve">16.50% p.a. </t>
  </si>
  <si>
    <t>16.75% p.a.</t>
  </si>
  <si>
    <t>17.00% p.a.</t>
  </si>
  <si>
    <t>coupon rate</t>
  </si>
  <si>
    <t>face value</t>
  </si>
  <si>
    <t>Price</t>
  </si>
  <si>
    <t>n</t>
  </si>
  <si>
    <t>Maturity dates</t>
  </si>
  <si>
    <t>Reporting date</t>
  </si>
  <si>
    <t>Sampath Bank Limited A/C No. 1</t>
  </si>
  <si>
    <t>HSBC INTL Nominees Ltd- Credit Suisse AG Zurich</t>
  </si>
  <si>
    <t>HSBC INTL NOM Ltd - JPMCB-J.P. Morgan Clearing Corp</t>
  </si>
  <si>
    <t>Gampaha District Co-operative Rural Bank Union Ltd.</t>
  </si>
  <si>
    <t>Public Holding</t>
  </si>
  <si>
    <t>The number of ordinary shares held by the directors and CEO as at 30th June 2014 were as follows;</t>
  </si>
  <si>
    <t>Quick Assets Ratio</t>
  </si>
  <si>
    <t>Assets</t>
  </si>
  <si>
    <t>Inventories</t>
  </si>
  <si>
    <t>Cash In Hand</t>
  </si>
  <si>
    <t>Liability</t>
  </si>
  <si>
    <t>Interest Cover</t>
  </si>
  <si>
    <t>EBIT</t>
  </si>
  <si>
    <t>Interest Expense</t>
  </si>
  <si>
    <t>Dividend received from investments</t>
  </si>
  <si>
    <t>Income Statement</t>
  </si>
  <si>
    <t>Statement of Comprehensive Income</t>
  </si>
  <si>
    <t>As at 30th June</t>
  </si>
  <si>
    <t>The Company makes use of forward rate agreement to manage exposures to foreign currency risks, including exposures arising from highly probable forecast transactions and firm commitments. In order to manage particular risk, the Company applies hedge accounting for transactions which meet specified criteria.</t>
  </si>
  <si>
    <t xml:space="preserve">The Company entered into forward rate agreements for US$ 15.75 and US$ 9.75 million with HSBC Bank on the date 11th April 2014 and 21st May 2014 respectively. </t>
  </si>
  <si>
    <t>12.</t>
  </si>
  <si>
    <t>Except for the note 10, there has been no significant change in the nature of the contingent liabilities for the three months period ended 30th June 2014 which were disclosed in the Annual Report for the year ended 31st March 2014.</t>
  </si>
  <si>
    <t>Deutsche Bank</t>
  </si>
  <si>
    <t>Subsidiary and Associate Companies</t>
  </si>
  <si>
    <t xml:space="preserve">Habib Bank </t>
  </si>
  <si>
    <t>Subsidiary Companies</t>
  </si>
  <si>
    <t>Name of Company</t>
  </si>
  <si>
    <t>Union Bank of Colombo PLC</t>
  </si>
  <si>
    <t>People’s Leasing &amp; Finance PLC</t>
  </si>
  <si>
    <t>Public Bank Berhad</t>
  </si>
  <si>
    <t xml:space="preserve"> (Subsidiary of People’s Bank) </t>
  </si>
  <si>
    <t>Citibank N.A.</t>
  </si>
  <si>
    <t>People’s Leasing Fleet Management Limited</t>
  </si>
  <si>
    <t>Indian Bank</t>
  </si>
  <si>
    <t xml:space="preserve">People’s Leasing Property Development </t>
  </si>
  <si>
    <t>Legal Form</t>
  </si>
  <si>
    <t>Indian Overseas Bank</t>
  </si>
  <si>
    <t>Limited</t>
  </si>
  <si>
    <t>Public Limited Liability Company</t>
  </si>
  <si>
    <t>Pan Asia Banking Corporation PLC</t>
  </si>
  <si>
    <t>People’s Leasing Havelock Properties Limited</t>
  </si>
  <si>
    <t>Axis Bank</t>
  </si>
  <si>
    <t>People’s Insurance Limited</t>
  </si>
  <si>
    <t>People’s Microfinance Limited</t>
  </si>
  <si>
    <t>Date of Incorporation</t>
  </si>
  <si>
    <t xml:space="preserve">Branch Offices </t>
  </si>
  <si>
    <t>Akuressa, Ambalangoda, Ambalanthota,</t>
  </si>
  <si>
    <t>Associate Companies</t>
  </si>
  <si>
    <t xml:space="preserve">Ampara, Anuradhapura, Awissawella, </t>
  </si>
  <si>
    <t>City Finance Corporation Limited</t>
  </si>
  <si>
    <t>Company Registration Number</t>
  </si>
  <si>
    <t xml:space="preserve">Badulla, Balangoda, Bandarawela, </t>
  </si>
  <si>
    <t>PB 647 PQ</t>
  </si>
  <si>
    <t>Corporate Memberships</t>
  </si>
  <si>
    <t>Asian Leasing and Financial Association</t>
  </si>
  <si>
    <t>Accounting Year-end</t>
  </si>
  <si>
    <t>Credit Information Bureau of Sri Lanka</t>
  </si>
  <si>
    <t xml:space="preserve">Gampaha, Gampola, Giriulla, Grandpass, </t>
  </si>
  <si>
    <t>Financial Ombudsman-Sri Lanka</t>
  </si>
  <si>
    <t xml:space="preserve">Hambantota, Hatton, Havelock, Homagama, </t>
  </si>
  <si>
    <t xml:space="preserve">Leasing Association of Sri Lanka </t>
  </si>
  <si>
    <t xml:space="preserve">Stock Exchange Listing </t>
  </si>
  <si>
    <t xml:space="preserve">Horana, Ja-Ela, Jaffna, Kadawatha, Kaduwela, </t>
  </si>
  <si>
    <t xml:space="preserve">The Ordinary shares of the Company were </t>
  </si>
  <si>
    <t xml:space="preserve">Kalawanchikudi, Kalmunai, Kalutara, </t>
  </si>
  <si>
    <t>Vehicle Yards</t>
  </si>
  <si>
    <t xml:space="preserve">quoted on the Main Board of the Colombo </t>
  </si>
  <si>
    <t xml:space="preserve">Kandy, Kandy – Alsafa, Kanthale, </t>
  </si>
  <si>
    <t xml:space="preserve">No. 429, 2nd Division, Darly Road, Colombo </t>
  </si>
  <si>
    <t>Stock Exchange (CSE) on 24th November</t>
  </si>
  <si>
    <t xml:space="preserve">Kattankudy, Kegalle, Kekirawa, Kelaniya, </t>
  </si>
  <si>
    <t>10, Sri Lanka.</t>
  </si>
  <si>
    <t>2011.</t>
  </si>
  <si>
    <t xml:space="preserve">Kilinochchi, Kirindiwela,  Kuliyapitiya </t>
  </si>
  <si>
    <t>No. 496, Makola North, Makola, Sri Lanka.</t>
  </si>
  <si>
    <t>Kurunegala, Mahaiyawa, Maharagama,</t>
  </si>
  <si>
    <t>No. 225/D, Nayagala Road, Heiyanthuduwa,</t>
  </si>
  <si>
    <t xml:space="preserve">Senior, Unsecured, Redeemable, four year </t>
  </si>
  <si>
    <t>Mabima, Sri Lanka.</t>
  </si>
  <si>
    <t xml:space="preserve">(2013/17) and five year (2013/18) Debentures </t>
  </si>
  <si>
    <t xml:space="preserve">Mathugama,, Melsiripura, Merigama, </t>
  </si>
  <si>
    <t xml:space="preserve">were listed on the Debt Securities Main Board </t>
  </si>
  <si>
    <t xml:space="preserve">Metropolitan, Minuwangoda, Monaragala, </t>
  </si>
  <si>
    <t xml:space="preserve">of Colombo Stock Exchange on 4th April 2013.  </t>
  </si>
  <si>
    <t xml:space="preserve">Moratuwa,, Mutur, Nawalapitiya, Negombo, </t>
  </si>
  <si>
    <t xml:space="preserve">Neluwa, Nittambuwa, Nugegoda, Nuwara Eliya, </t>
  </si>
  <si>
    <t>Tax Payer Identity Number (TIN)</t>
  </si>
  <si>
    <t>Registered Office</t>
  </si>
  <si>
    <t xml:space="preserve">Panadura, Pettah, Pilimathalawa, </t>
  </si>
  <si>
    <t>114 156396 0000</t>
  </si>
  <si>
    <t xml:space="preserve">&amp; Principle Place of Business </t>
  </si>
  <si>
    <t>Piliyandala, Polonnaruwa, Puttalam,</t>
  </si>
  <si>
    <t>1161, Maradana Road, Borella</t>
  </si>
  <si>
    <t xml:space="preserve">Ratnapura, Tangalle, Thambuttegama, </t>
  </si>
  <si>
    <t>VAT Registration Number</t>
  </si>
  <si>
    <t>Colombo 08, Sri Lanka.</t>
  </si>
  <si>
    <t>Thissamaharamaya, Trincomalee,</t>
  </si>
  <si>
    <t>114 156396 7000</t>
  </si>
  <si>
    <t>Postal Code: 00200</t>
  </si>
  <si>
    <t>Union Place, Vavuniya, Ward Place,</t>
  </si>
  <si>
    <t>Telephone +94 11 2631631</t>
  </si>
  <si>
    <t>Wariyapola, Wattala, Welimada,</t>
  </si>
  <si>
    <t>Central Bank Registration Number</t>
  </si>
  <si>
    <t>Fax +94 11 2631980/81</t>
  </si>
  <si>
    <t xml:space="preserve">Wellawaya, Wellawatta, Wennappuwa </t>
  </si>
  <si>
    <t xml:space="preserve"> 046 (Under the Finance Business Act No.42 of</t>
  </si>
  <si>
    <t>Email: plclease@plc.lk</t>
  </si>
  <si>
    <t xml:space="preserve"> 2011)</t>
  </si>
  <si>
    <t>Web Address: www.plc.lk</t>
  </si>
  <si>
    <t xml:space="preserve">Board of Directors and Board </t>
  </si>
  <si>
    <t xml:space="preserve">Sub-Committees </t>
  </si>
  <si>
    <t>Credit Agency Status</t>
  </si>
  <si>
    <t>Company Secretary</t>
  </si>
  <si>
    <t>An approved Credit Agency under the</t>
  </si>
  <si>
    <t>Mr. Rohan Pathirage</t>
  </si>
  <si>
    <t>Board of Directors</t>
  </si>
  <si>
    <t xml:space="preserve">Mortgage Act No.6 of 1949 and the Trust </t>
  </si>
  <si>
    <t>Mr. Gamini Senarath- Chairman</t>
  </si>
  <si>
    <t>Receipt Ordinance No.12 of 1947 by the</t>
  </si>
  <si>
    <t>Registrars</t>
  </si>
  <si>
    <t>Mr. P. Kudabalage</t>
  </si>
  <si>
    <t>Department of Commerce.</t>
  </si>
  <si>
    <t>SSP Corporate Services (Pvt) Ltd</t>
  </si>
  <si>
    <t>Mr. N. Vasantha Kumar</t>
  </si>
  <si>
    <t xml:space="preserve">No. 101, Inner Flower Road, </t>
  </si>
  <si>
    <t>Credit Rating</t>
  </si>
  <si>
    <t xml:space="preserve">Colombo 03, Sri Lanka. </t>
  </si>
  <si>
    <t>Mr. H.H. Anura Chandrasiri</t>
  </si>
  <si>
    <t>Telephone: +94 11 2573894, +94 11 2576871</t>
  </si>
  <si>
    <t xml:space="preserve"> Limited</t>
  </si>
  <si>
    <t>Fax: +94 11 2573609</t>
  </si>
  <si>
    <t>Board Sub-Committees</t>
  </si>
  <si>
    <t xml:space="preserve">‘B+/B’ stable by Standard &amp; Poor’s Rating </t>
  </si>
  <si>
    <t xml:space="preserve">E-mail: sspsec@sltnet.lk </t>
  </si>
  <si>
    <t>Integrated Risk Management Committee</t>
  </si>
  <si>
    <t>Auditors</t>
  </si>
  <si>
    <t>For any clarification on this Report</t>
  </si>
  <si>
    <t>M/s. Ernst &amp; Young</t>
  </si>
  <si>
    <t>Mr. D. P. Kumarage</t>
  </si>
  <si>
    <t xml:space="preserve">please write to; </t>
  </si>
  <si>
    <t>Chartered Accountants,</t>
  </si>
  <si>
    <t>Mr. K. S. Bandaranayake</t>
  </si>
  <si>
    <t>The Chief Financial Officer</t>
  </si>
  <si>
    <t>201, De Saram Place,</t>
  </si>
  <si>
    <t>Mr. L. Fernando</t>
  </si>
  <si>
    <t>P.O. Box 101,</t>
  </si>
  <si>
    <t>Colombo 10,</t>
  </si>
  <si>
    <t>Audit Committee</t>
  </si>
  <si>
    <t>Sri Lanka.</t>
  </si>
  <si>
    <t>Mr. P. Kudabalage - Chairman</t>
  </si>
  <si>
    <t>Bankers</t>
  </si>
  <si>
    <t>People’s Bank</t>
  </si>
  <si>
    <t>Sampath Bank PLC</t>
  </si>
  <si>
    <t>Remuneration &amp; Nomination Committee</t>
  </si>
  <si>
    <t>Bank of Ceylon</t>
  </si>
  <si>
    <t>Commercial Bank of Ceylon PLC</t>
  </si>
  <si>
    <t>DFCC Bank PLC</t>
  </si>
  <si>
    <t>Hatton National Bank PLC</t>
  </si>
  <si>
    <t>National Development Bank PLC</t>
  </si>
  <si>
    <t>Nations Trust Bank PLC</t>
  </si>
  <si>
    <t xml:space="preserve">Mr. P. Kudabalage </t>
  </si>
  <si>
    <t>Seylan Bank PLC</t>
  </si>
  <si>
    <t>Standard Chartered Bank</t>
  </si>
  <si>
    <t>CORPORATE INFORMATION</t>
  </si>
  <si>
    <t>(Incorporated and domiciled in Sri Lanka)</t>
  </si>
  <si>
    <t xml:space="preserve">Related Party Transactions Review Committee </t>
  </si>
  <si>
    <t>Mr. S.S.V. Fernando</t>
  </si>
  <si>
    <t>Mr. K.V.N. Jayawardene</t>
  </si>
  <si>
    <t>22nd August 1995</t>
  </si>
  <si>
    <t xml:space="preserve">Battaramulla, Batticaloa, Benthota, Chilaw, </t>
  </si>
  <si>
    <t>Chunnakam, Colpetty, Dambulla, Dehiwala,</t>
  </si>
  <si>
    <t xml:space="preserve">Mahiyanganaya, Mannar, Matale, Matara, </t>
  </si>
  <si>
    <t xml:space="preserve">Deniyaya, Digana, Elpitiya, Embilipitiya, Galle, </t>
  </si>
  <si>
    <t>Mr. K.V.N. Jayawardene – Chairman</t>
  </si>
  <si>
    <t>Mr. K.V.N. Jayawardene - Chairman</t>
  </si>
  <si>
    <t>No.8, Pothuvil Road, Monaragala, Sri Lanka</t>
  </si>
  <si>
    <t>Ketalagolla, Beligamuwa, Galewela, Sri Lanka</t>
  </si>
  <si>
    <t xml:space="preserve">Services </t>
  </si>
  <si>
    <t xml:space="preserve">‘B+’ stable by Fitch Ratings International </t>
  </si>
  <si>
    <t>‘AA-’ (lka) stable by Fitch Ratings Lanka</t>
  </si>
  <si>
    <t>Fee and commission income</t>
  </si>
  <si>
    <t>Fee and commission expenses</t>
  </si>
  <si>
    <t>Net gain/(loss) from trading</t>
  </si>
  <si>
    <t>Net gain/(loss) from financial investments</t>
  </si>
  <si>
    <t xml:space="preserve">Less: Impairment for loans and other losses </t>
  </si>
  <si>
    <t xml:space="preserve">         Individual impairment</t>
  </si>
  <si>
    <t xml:space="preserve">         Collective impairment</t>
  </si>
  <si>
    <t>As at 30th September 2014</t>
  </si>
  <si>
    <t>Loans and receivables - Leases</t>
  </si>
  <si>
    <t>Loans and receivables - Hire purchase</t>
  </si>
  <si>
    <t>Loans and receivables - Others</t>
  </si>
  <si>
    <t>For the six months ended 30th September</t>
  </si>
  <si>
    <t>Rs. '000</t>
  </si>
  <si>
    <t>30.09.2014</t>
  </si>
  <si>
    <t>Core Capital (Tier1 Capital) - Rs. '000</t>
  </si>
  <si>
    <t>Total Capital Base - Rs. '000</t>
  </si>
  <si>
    <t>Net- Non-Performing Advances Ratio (%)</t>
  </si>
  <si>
    <t>Regulatory Liquidity - Rs. '000</t>
  </si>
  <si>
    <t xml:space="preserve">         Disposal loss</t>
  </si>
  <si>
    <t>a) the above statements have been prepared in compliance with the format and the definitions prescribed by the Central Bank of Sri Lanka;</t>
  </si>
  <si>
    <t>b) the information contained in these statements have been extracted from the unaudited financial statements of People's Leasing &amp; Finance PLC unless indicated as audited.</t>
  </si>
  <si>
    <t>Gross Non-Performing Advances - Rs. '000</t>
  </si>
  <si>
    <t>Capital Funds to Total Deposit Liabilities Ratio (Minimum 10%) (%)</t>
  </si>
  <si>
    <t>Interest Margin (%)</t>
  </si>
  <si>
    <t>Return on Average Assets (before Tax) (%)</t>
  </si>
  <si>
    <r>
      <t>We, the undersigned, being the Chief Executive Officer and the Chief Financial Officer</t>
    </r>
    <r>
      <rPr>
        <sz val="12"/>
        <color rgb="FFFF0000"/>
        <rFont val="Book Antiqua"/>
        <family val="1"/>
      </rPr>
      <t xml:space="preserve"> </t>
    </r>
    <r>
      <rPr>
        <sz val="12"/>
        <rFont val="Book Antiqua"/>
        <family val="1"/>
      </rPr>
      <t>of People's Leasing &amp; Finance PLC certify jointly that:</t>
    </r>
  </si>
  <si>
    <t xml:space="preserve">         Other losses</t>
  </si>
  <si>
    <t>……………………………..</t>
  </si>
  <si>
    <t>…………………………..</t>
  </si>
  <si>
    <t xml:space="preserve">Gains/ (losses) on derivative financial assets  </t>
  </si>
  <si>
    <t>Other comprehensive income/(expenses) (net of tax)</t>
  </si>
  <si>
    <t>Regulatory Capital Adequacy</t>
  </si>
  <si>
    <t>Asset Quality (Quality of Loan Portfolio)</t>
  </si>
  <si>
    <t>Return on Average Equity (after tax) (%)</t>
  </si>
  <si>
    <t>PEOPLE'S LEAING &amp; FINANCE PLC</t>
  </si>
  <si>
    <t>Date: 27/10/2014</t>
  </si>
  <si>
    <t>2013 - 5 Years - 16.75% p.a. payable semi-annually</t>
  </si>
  <si>
    <t>2013 - 5 Years - 17.00% p.a. payable annually</t>
  </si>
  <si>
    <t>2014 - 3 Years - 8.75% p.a. payable annually</t>
  </si>
  <si>
    <t>2014 - 4 Years - 9.63% p.a. payable annually</t>
  </si>
  <si>
    <t>Coupon Rate
           (%)</t>
  </si>
  <si>
    <t>Annual Effective
 Rate (%)</t>
  </si>
  <si>
    <t>2013 - 5 Years - 16.75% p.a. payable semi annually</t>
  </si>
  <si>
    <t>Share of profit/(loss) of an associate (net of tax)</t>
  </si>
  <si>
    <t>Revaluation of land and buildings</t>
  </si>
  <si>
    <t>2 Year Treasury Bond</t>
  </si>
  <si>
    <t>3 Year Treasury Bond</t>
  </si>
  <si>
    <t xml:space="preserve">Balances with  banks &amp; financial institutions  </t>
  </si>
  <si>
    <t>People's Bank</t>
  </si>
  <si>
    <t>Sri Lanka Insurance Corporation Ltd-General Fund</t>
  </si>
  <si>
    <t>Employees Trust Fund Board</t>
  </si>
  <si>
    <t>Akbar Brothers Pvt Ltd A/C No 1</t>
  </si>
  <si>
    <t>2015 - 4 Years - 9.60% p.a. payable  semi-annually</t>
  </si>
  <si>
    <t>2015 - 5 Years - 9.95% p.a. payable annually</t>
  </si>
  <si>
    <t>STATEMENT OF PROFIT OR LOSS</t>
  </si>
  <si>
    <t>Investments in associate</t>
  </si>
  <si>
    <t xml:space="preserve">Deferred tax assets  </t>
  </si>
  <si>
    <t>A.S. Ibrahim</t>
  </si>
  <si>
    <t>Rubber Investment Trust Limited A/C # 01</t>
  </si>
  <si>
    <t>Hatton National Bank PLC A/C No.4 (HNB Retirement Pension Fund)</t>
  </si>
  <si>
    <t>Mr. Ahamed Sabry Ibrahim</t>
  </si>
  <si>
    <t>2016 - 3 Years - 11.90% p.a. payable semi-annually</t>
  </si>
  <si>
    <t>2016 - 4 Years - 12.25% p.a. payable semi-annually</t>
  </si>
  <si>
    <t>2016 - 5 Years - 12.60% p.a. payable semi-annually</t>
  </si>
  <si>
    <t>Operating profit after VAT &amp; NBT on financial services</t>
  </si>
  <si>
    <t>Profit before income tax</t>
  </si>
  <si>
    <t>30.09.2018</t>
  </si>
  <si>
    <t>Current tax receivables</t>
  </si>
  <si>
    <t>Ceylon Guardian Investment Trust PLC A/C # 02</t>
  </si>
  <si>
    <t>Float adjusted Market Capitalisation</t>
  </si>
  <si>
    <t>The Float adjusted market capitalization of the Company falls under Option 3 of Rule 7.13.1 (a), of the Listing Rules of the Colombo Stock Exchange and the Company has complied with the minimum public holding requirement applicable under the said option.</t>
  </si>
  <si>
    <t>2013 - 4 Years - 16.50% p.a. payable semi-annually</t>
  </si>
  <si>
    <t>2018 - 4 Years - 12.40% p.a. payable annually</t>
  </si>
  <si>
    <t>2018 - 5 Years - 12.80% p.a. payable annually</t>
  </si>
  <si>
    <t>2013 - 4 Years - 16.50% p.a. payable semi annually</t>
  </si>
  <si>
    <t>( Above rates are excluding withholding tax)</t>
  </si>
  <si>
    <t>Capital gain tax</t>
  </si>
  <si>
    <t>Net gains/(losses) arising from translating the Financial Statements of the foreign subsidiary</t>
  </si>
  <si>
    <t>30.09.2019</t>
  </si>
  <si>
    <t>As at 30th September 2019</t>
  </si>
  <si>
    <t>Scrip Dividend</t>
  </si>
  <si>
    <t>Guardian Fund Management Limited/The Aitken Spence And Associated Companies Executive Staff Providen</t>
  </si>
  <si>
    <t>Core Capital to Risk Weighted Assets Ratio (Minimum 7%) (%)</t>
  </si>
  <si>
    <t>Total Capital to Risk Weighted Assets Ratio (Minimum 11%) (%)</t>
  </si>
  <si>
    <t>Right-of-use assets</t>
  </si>
  <si>
    <t>Lease liabilities - Amortised cost</t>
  </si>
  <si>
    <t>As at 30th September 2020</t>
  </si>
  <si>
    <t>30.09.2020</t>
  </si>
  <si>
    <t>31.03.2020</t>
  </si>
  <si>
    <t>Omal Sumanasiri</t>
  </si>
  <si>
    <t>Chief Manager Finance</t>
  </si>
  <si>
    <t>Debt instrument - Amortised cost</t>
  </si>
  <si>
    <t>Financial assets - Fair value through other comprehensive income</t>
  </si>
  <si>
    <t>Financial assets -Fair value through profit or loss</t>
  </si>
  <si>
    <t>BNYM SA NV RE-Neon Liberty Lorikeet Master Fund LP</t>
  </si>
  <si>
    <t>Perera And Sons Bakers Pvt Limited</t>
  </si>
  <si>
    <t>AIA Insurance Lanka Limited A/C No.07</t>
  </si>
  <si>
    <t>Mr. Merrill Joseph Fernando</t>
  </si>
  <si>
    <t>Mr. Herbert Beruwalage</t>
  </si>
  <si>
    <t>Commercial Bank Of Ceylon PLC/Metrocorp (Pvt) Ltd</t>
  </si>
  <si>
    <t>AIA Insurance Lanka Limited A/C No.06</t>
  </si>
  <si>
    <t>Ceylon Investment PLC A/C # 02</t>
  </si>
  <si>
    <t>Mr.Sujeewa Rajapakse</t>
  </si>
  <si>
    <t>Mr. Goluhewage Bindu Rasitha Poojitha Gunawardana ( Resigned with effect from 25th June 2020)</t>
  </si>
  <si>
    <t>Mr.Azzam A. Ahamat</t>
  </si>
  <si>
    <t>Mr.S. Ahangama</t>
  </si>
  <si>
    <t>Mr.K.C.J.C. Fonseka</t>
  </si>
  <si>
    <t>Mr.C.J.Wijetillake</t>
  </si>
  <si>
    <t>Mr.U.L.A.W. Bandara</t>
  </si>
  <si>
    <t>Ms.M.C. Pietersz</t>
  </si>
  <si>
    <t>Mr. R. Kodituwakku</t>
  </si>
  <si>
    <t xml:space="preserve">Insurance liabilities and reinsurance payable </t>
  </si>
  <si>
    <t>Stated capital</t>
  </si>
  <si>
    <t>Total equity attributable to equity holders of the Company</t>
  </si>
  <si>
    <t>Total equity</t>
  </si>
  <si>
    <r>
      <t>We, the undersigned, being the Chief Executive Officer and the Chief Finance Manager</t>
    </r>
    <r>
      <rPr>
        <sz val="12"/>
        <color rgb="FFFF0000"/>
        <rFont val="Book Antiqua"/>
        <family val="1"/>
      </rPr>
      <t xml:space="preserve"> </t>
    </r>
    <r>
      <rPr>
        <sz val="12"/>
        <rFont val="Book Antiqua"/>
        <family val="1"/>
      </rPr>
      <t>of People's Leasing &amp; Finance PLC certify jointly that:</t>
    </r>
  </si>
  <si>
    <t>Non-controllng interest</t>
  </si>
  <si>
    <t>Equity holders of the company</t>
  </si>
  <si>
    <t>Item</t>
  </si>
  <si>
    <t>As at 30.09.2020</t>
  </si>
  <si>
    <t>As at 30.09.2019</t>
  </si>
  <si>
    <t>Regulatory Capital Adequacy (%)</t>
  </si>
  <si>
    <t>Actual</t>
  </si>
  <si>
    <t>Required</t>
  </si>
  <si>
    <t>Tier 1 Capital Adequacy ratio</t>
  </si>
  <si>
    <t>Total Capital Ratio</t>
  </si>
  <si>
    <t>Capital Funds to Total Deposit Liabilities Ratio</t>
  </si>
  <si>
    <t>Quality of Loan Portfolio (%)</t>
  </si>
  <si>
    <t>Gross - Non-Performing Loans Ratio</t>
  </si>
  <si>
    <t>Net - Non-Performing Loans Ratio</t>
  </si>
  <si>
    <t>Net - Non-Performing Loans to Core Capital Ratio</t>
  </si>
  <si>
    <t>Provision Coverage Ratio</t>
  </si>
  <si>
    <r>
      <t>Profitability</t>
    </r>
    <r>
      <rPr>
        <sz val="12"/>
        <rFont val="Book Antiqua"/>
        <family val="1"/>
      </rPr>
      <t xml:space="preserve"> </t>
    </r>
    <r>
      <rPr>
        <i/>
        <sz val="12"/>
        <rFont val="Book Antiqua"/>
        <family val="1"/>
      </rPr>
      <t>(%)</t>
    </r>
  </si>
  <si>
    <t>Net Interest Margin</t>
  </si>
  <si>
    <t>Return on Assets</t>
  </si>
  <si>
    <t>Return on Equity</t>
  </si>
  <si>
    <t>Cost to Income Ratio</t>
  </si>
  <si>
    <t xml:space="preserve"> Liquidity</t>
  </si>
  <si>
    <t>Available Liquid Assets to Required Liquid Assets (minimum 100%)</t>
  </si>
  <si>
    <t>Liquid Assets to external funds</t>
  </si>
  <si>
    <t>External Credit Rating</t>
  </si>
  <si>
    <t>Regulatory Penalties imposed last 6 months</t>
  </si>
  <si>
    <t>Amount (Rs. Mn)</t>
  </si>
  <si>
    <t>Regulatory Deposit Restrictions</t>
  </si>
  <si>
    <t>Cap on total Deposits (Rs. Mn)</t>
  </si>
  <si>
    <t>Downsizing of Deposits - per month/quarter/year (Rs. Mn)</t>
  </si>
  <si>
    <t>Freezing of Deposits</t>
  </si>
  <si>
    <t>Regulatory Borrowing Restrictions</t>
  </si>
  <si>
    <t>Cap on total Borrowings (Rs. Mn)</t>
  </si>
  <si>
    <t>Downsizing of Borrowings - per month/quarter/year (Rs. Mn)</t>
  </si>
  <si>
    <t>Freezing of Borrowings</t>
  </si>
  <si>
    <t>Regulatory Lending Restructure</t>
  </si>
  <si>
    <t>Cap on total Lending portfolio (Rs. Mn)</t>
  </si>
  <si>
    <t>Downsizing of Lending portfolio - per month/quarter/year (Rs. Mn)</t>
  </si>
  <si>
    <t>Freezing of Lending portfolio</t>
  </si>
  <si>
    <t>Any other Regulatory Restrictions</t>
  </si>
  <si>
    <t>Please Specify</t>
  </si>
  <si>
    <t xml:space="preserve">Highest price during the quarter ended 30th September : </t>
  </si>
  <si>
    <t xml:space="preserve">Lowest price during the quarter ended 30th September : </t>
  </si>
  <si>
    <t xml:space="preserve">Last traded price as at 30th September : </t>
  </si>
  <si>
    <t>Issued Capital as at 30th September 2020 was represented by the number of shares in issue as given below;</t>
  </si>
  <si>
    <t>Twenty Largest Ordinary Shareholders as at 30th September 2020</t>
  </si>
  <si>
    <t>Twenty largest ordinary shareholders of the Company as at 30th September 2020 were as follows;</t>
  </si>
  <si>
    <t>The percentage of ordinary shares held by the public as at 30th September 2020 was 24.94% and the number of shareholders representing the public holding was 10,057.</t>
  </si>
  <si>
    <t>The Float adjusted market capitalization as at 30th September 2020 - Rs. 5,318,336,703</t>
  </si>
  <si>
    <t>Market Prices for the six months ended 30th September 2020</t>
  </si>
  <si>
    <t>Net gain/(loss) on financial assets - FVTPL</t>
  </si>
  <si>
    <t xml:space="preserve">Operating profit before tax on financial services  </t>
  </si>
  <si>
    <t xml:space="preserve">Less: tax on financial services </t>
  </si>
  <si>
    <t>Other operating income</t>
  </si>
  <si>
    <t xml:space="preserve"> A+ (lka) by Fitch Ratings Lanka Limited</t>
  </si>
  <si>
    <t xml:space="preserve"> AA- (lka) by Fitch Ratings Lanka Limited</t>
  </si>
  <si>
    <t>(sgd.)</t>
  </si>
  <si>
    <t>Sujeewa Rajapakse</t>
  </si>
  <si>
    <t>Rohan Pathirage</t>
  </si>
  <si>
    <t>Colombo</t>
  </si>
  <si>
    <t>The Board of Directors is responsible for these Financial Statements.</t>
  </si>
  <si>
    <t>Approved and signed for and on behalf of the Board by;</t>
  </si>
  <si>
    <r>
      <rPr>
        <b/>
        <sz val="14"/>
        <color rgb="FF231F20"/>
        <rFont val="Book Antiqua"/>
        <family val="1"/>
      </rPr>
      <t>STATEMENT OF FINANCIAL POSITION</t>
    </r>
  </si>
  <si>
    <t>02nd November 2020</t>
  </si>
</sst>
</file>

<file path=xl/styles.xml><?xml version="1.0" encoding="utf-8"?>
<styleSheet xmlns="http://schemas.openxmlformats.org/spreadsheetml/2006/main">
  <numFmts count="20">
    <numFmt numFmtId="41" formatCode="_(* #,##0_);_(* \(#,##0\);_(* &quot;-&quot;_);_(@_)"/>
    <numFmt numFmtId="44" formatCode="_(&quot;$&quot;* #,##0.00_);_(&quot;$&quot;* \(#,##0.00\);_(&quot;$&quot;* &quot;-&quot;??_);_(@_)"/>
    <numFmt numFmtId="43" formatCode="_(* #,##0.00_);_(* \(#,##0.00\);_(* &quot;-&quot;??_);_(@_)"/>
    <numFmt numFmtId="164" formatCode="_(* #,##0_);_(* \(#,##0\);_(* &quot;-&quot;??_);_(@_)"/>
    <numFmt numFmtId="165" formatCode="0.00_)"/>
    <numFmt numFmtId="166" formatCode="0.000%"/>
    <numFmt numFmtId="167" formatCode="_(* #,##0.00_);_(* \(#,##0.00\);_(* \-??_);_(@_)"/>
    <numFmt numFmtId="168" formatCode="_-* #,##0.00_-;\-* #,##0.00_-;_-* &quot;-&quot;??_-;_-@_-"/>
    <numFmt numFmtId="169" formatCode="_ * #,##0.00_ ;_ * \-#,##0.00_ ;_ * &quot;-&quot;??_ ;_ @_ "/>
    <numFmt numFmtId="170" formatCode="#,###,\ ;[Red]\(\ #,###,\ \)"/>
    <numFmt numFmtId="171" formatCode="_([$€-2]* #,##0.00_);_([$€-2]* \(#,##0.00\);_([$€-2]* &quot;-&quot;??_)"/>
    <numFmt numFmtId="172" formatCode="#,##0.00\ ;&quot; (&quot;#,##0.00\);&quot; -&quot;#\ ;@\ "/>
    <numFmt numFmtId="173" formatCode="0.0%"/>
    <numFmt numFmtId="174" formatCode="_(* #,##0.0_);_(* \(#,##0.0\);_(* &quot;-&quot;??_);_(@_)"/>
    <numFmt numFmtId="175" formatCode="0.0"/>
    <numFmt numFmtId="176" formatCode="0.0000%"/>
    <numFmt numFmtId="177" formatCode="[$-409]mmm\-yy;@"/>
    <numFmt numFmtId="178" formatCode="#,##0.00&quot; &quot;;&quot; (&quot;#,##0.00&quot;)&quot;;&quot; -&quot;#&quot; &quot;;@&quot; &quot;"/>
    <numFmt numFmtId="179" formatCode="#,##0\ ;&quot; (&quot;#,##0\);&quot; - &quot;;@\ "/>
    <numFmt numFmtId="180" formatCode="[$-409]General"/>
  </numFmts>
  <fonts count="134">
    <font>
      <sz val="10"/>
      <name val="Arial"/>
    </font>
    <font>
      <sz val="11"/>
      <color theme="1"/>
      <name val="Calibri"/>
      <family val="2"/>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0"/>
      <name val="Times New Roman"/>
      <family val="1"/>
    </font>
    <font>
      <sz val="12"/>
      <name val="Times New Roman"/>
      <family val="1"/>
    </font>
    <font>
      <b/>
      <sz val="12"/>
      <name val="Times New Roman"/>
      <family val="1"/>
    </font>
    <font>
      <sz val="10"/>
      <name val="Arial"/>
      <family val="2"/>
    </font>
    <font>
      <sz val="11"/>
      <color indexed="8"/>
      <name val="Calibri"/>
      <family val="2"/>
    </font>
    <font>
      <b/>
      <i/>
      <sz val="16"/>
      <name val="Helv"/>
    </font>
    <font>
      <sz val="10"/>
      <name val="Times New Roman"/>
      <family val="1"/>
    </font>
    <font>
      <sz val="10"/>
      <name val="Courier"/>
      <family val="3"/>
    </font>
    <font>
      <b/>
      <i/>
      <sz val="12"/>
      <color theme="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Times New Roman"/>
      <family val="1"/>
    </font>
    <font>
      <i/>
      <sz val="12"/>
      <name val="Times New Roman"/>
      <family val="1"/>
    </font>
    <font>
      <b/>
      <sz val="18"/>
      <name val="Calibri"/>
      <family val="2"/>
      <scheme val="minor"/>
    </font>
    <font>
      <b/>
      <sz val="20"/>
      <name val="Arial"/>
      <family val="2"/>
    </font>
    <font>
      <b/>
      <sz val="10"/>
      <name val="Arial"/>
      <family val="2"/>
    </font>
    <font>
      <b/>
      <sz val="24"/>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Arial"/>
      <family val="2"/>
    </font>
    <font>
      <sz val="10"/>
      <name val="Century Schoolbook"/>
      <family val="1"/>
    </font>
    <font>
      <sz val="12"/>
      <name val="Helv"/>
    </font>
    <font>
      <sz val="12"/>
      <name val="Arial"/>
      <family val="2"/>
    </font>
    <font>
      <sz val="24"/>
      <color indexed="13"/>
      <name val="Arial"/>
      <family val="2"/>
    </font>
    <font>
      <i/>
      <sz val="11"/>
      <color indexed="23"/>
      <name val="Calibri"/>
      <family val="2"/>
    </font>
    <font>
      <b/>
      <sz val="14"/>
      <color indexed="8"/>
      <name val="Arial"/>
      <family val="2"/>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4"/>
      <name val="Helv"/>
    </font>
    <font>
      <sz val="11"/>
      <color indexed="52"/>
      <name val="Calibri"/>
      <family val="2"/>
    </font>
    <font>
      <sz val="11"/>
      <color indexed="60"/>
      <name val="Calibri"/>
      <family val="2"/>
    </font>
    <font>
      <b/>
      <sz val="11"/>
      <color indexed="63"/>
      <name val="Calibri"/>
      <family val="2"/>
    </font>
    <font>
      <sz val="8"/>
      <name val="Arial"/>
      <family val="2"/>
    </font>
    <font>
      <sz val="10"/>
      <color indexed="32"/>
      <name val="Times New Roman"/>
      <family val="1"/>
    </font>
    <font>
      <sz val="24"/>
      <color indexed="13"/>
      <name val="Helv"/>
    </font>
    <font>
      <b/>
      <sz val="18"/>
      <color indexed="56"/>
      <name val="Cambria"/>
      <family val="2"/>
    </font>
    <font>
      <b/>
      <sz val="11"/>
      <color indexed="8"/>
      <name val="Calibri"/>
      <family val="2"/>
    </font>
    <font>
      <sz val="11"/>
      <color indexed="10"/>
      <name val="Calibri"/>
      <family val="2"/>
    </font>
    <font>
      <sz val="12"/>
      <color theme="1"/>
      <name val="Times New Roman"/>
      <family val="1"/>
    </font>
    <font>
      <sz val="12"/>
      <color rgb="FFFF0000"/>
      <name val="Times New Roman"/>
      <family val="1"/>
    </font>
    <font>
      <b/>
      <sz val="12"/>
      <color rgb="FFFF0000"/>
      <name val="Times New Roman"/>
      <family val="1"/>
    </font>
    <font>
      <b/>
      <sz val="12"/>
      <color rgb="FF000000"/>
      <name val="Times New Roman"/>
      <family val="1"/>
    </font>
    <font>
      <b/>
      <sz val="12"/>
      <color rgb="FF231F20"/>
      <name val="Times New Roman"/>
      <family val="1"/>
    </font>
    <font>
      <sz val="12"/>
      <color theme="0"/>
      <name val="Times New Roman"/>
      <family val="1"/>
    </font>
    <font>
      <b/>
      <sz val="11"/>
      <name val="Times New Roman"/>
      <family val="1"/>
    </font>
    <font>
      <sz val="11"/>
      <name val="Times New Roman"/>
      <family val="1"/>
    </font>
    <font>
      <i/>
      <sz val="11"/>
      <name val="Times New Roman"/>
      <family val="1"/>
    </font>
    <font>
      <sz val="11"/>
      <color rgb="FF000000"/>
      <name val="Times New Roman"/>
      <family val="1"/>
    </font>
    <font>
      <b/>
      <i/>
      <sz val="12"/>
      <color theme="1"/>
      <name val="Times New Roman"/>
      <family val="1"/>
    </font>
    <font>
      <sz val="10"/>
      <name val="Arial"/>
      <family val="2"/>
    </font>
    <font>
      <sz val="11"/>
      <color theme="1"/>
      <name val="Times New Roman"/>
      <family val="1"/>
    </font>
    <font>
      <sz val="10"/>
      <color rgb="FFFF0000"/>
      <name val="Arial"/>
      <family val="2"/>
    </font>
    <font>
      <sz val="10"/>
      <name val="Arial"/>
      <family val="2"/>
    </font>
    <font>
      <i/>
      <sz val="24"/>
      <color theme="1"/>
      <name val="Cambria"/>
      <family val="1"/>
      <scheme val="major"/>
    </font>
    <font>
      <sz val="10"/>
      <color rgb="FF000000"/>
      <name val="Times New Roman"/>
      <family val="1"/>
    </font>
    <font>
      <b/>
      <sz val="24"/>
      <name val="Book Antiqua"/>
      <family val="1"/>
    </font>
    <font>
      <b/>
      <sz val="10"/>
      <color rgb="FF000000"/>
      <name val="Book Antiqua"/>
      <family val="1"/>
    </font>
    <font>
      <b/>
      <sz val="24"/>
      <color rgb="FF231F20"/>
      <name val="Book Antiqua"/>
      <family val="1"/>
    </font>
    <font>
      <b/>
      <sz val="20"/>
      <color rgb="FF00AEEF"/>
      <name val="Book Antiqua"/>
      <family val="1"/>
    </font>
    <font>
      <b/>
      <u/>
      <sz val="16"/>
      <color rgb="FF91D7E8"/>
      <name val="Book Antiqua"/>
      <family val="1"/>
    </font>
    <font>
      <b/>
      <u/>
      <sz val="14"/>
      <color rgb="FF231F20"/>
      <name val="Book Antiqua"/>
      <family val="1"/>
    </font>
    <font>
      <b/>
      <sz val="10"/>
      <color rgb="FF000000"/>
      <name val="Times New Roman"/>
      <family val="1"/>
    </font>
    <font>
      <b/>
      <sz val="8"/>
      <name val="Book Antiqua"/>
      <family val="1"/>
    </font>
    <font>
      <b/>
      <u/>
      <sz val="14"/>
      <name val="Book Antiqua"/>
      <family val="1"/>
    </font>
    <font>
      <sz val="12"/>
      <color theme="1"/>
      <name val="Book Antiqua"/>
      <family val="1"/>
    </font>
    <font>
      <b/>
      <sz val="12"/>
      <color theme="1"/>
      <name val="Book Antiqua"/>
      <family val="1"/>
    </font>
    <font>
      <b/>
      <sz val="12"/>
      <color theme="0"/>
      <name val="Book Antiqua"/>
      <family val="1"/>
    </font>
    <font>
      <sz val="12"/>
      <color rgb="FFFF0000"/>
      <name val="Book Antiqua"/>
      <family val="1"/>
    </font>
    <font>
      <sz val="12"/>
      <name val="Book Antiqua"/>
      <family val="1"/>
    </font>
    <font>
      <b/>
      <sz val="12"/>
      <color rgb="FF231F20"/>
      <name val="Book Antiqua"/>
      <family val="1"/>
    </font>
    <font>
      <sz val="10"/>
      <name val="Book Antiqua"/>
      <family val="1"/>
    </font>
    <font>
      <i/>
      <sz val="12"/>
      <name val="Book Antiqua"/>
      <family val="1"/>
    </font>
    <font>
      <b/>
      <sz val="12"/>
      <name val="Book Antiqua"/>
      <family val="1"/>
    </font>
    <font>
      <b/>
      <i/>
      <sz val="12"/>
      <color theme="1"/>
      <name val="Book Antiqua"/>
      <family val="1"/>
    </font>
    <font>
      <b/>
      <sz val="12"/>
      <color rgb="FFFF0000"/>
      <name val="Book Antiqua"/>
      <family val="1"/>
    </font>
    <font>
      <b/>
      <sz val="12"/>
      <color rgb="FF000000"/>
      <name val="Book Antiqua"/>
      <family val="1"/>
    </font>
    <font>
      <b/>
      <sz val="14"/>
      <name val="Book Antiqua"/>
      <family val="1"/>
    </font>
    <font>
      <sz val="12"/>
      <color theme="0"/>
      <name val="Book Antiqua"/>
      <family val="1"/>
    </font>
    <font>
      <b/>
      <sz val="13"/>
      <name val="Book Antiqua"/>
      <family val="1"/>
    </font>
    <font>
      <b/>
      <u/>
      <sz val="12"/>
      <name val="Book Antiqua"/>
      <family val="1"/>
    </font>
    <font>
      <b/>
      <sz val="16"/>
      <name val="Book Antiqua"/>
      <family val="1"/>
    </font>
    <font>
      <sz val="7"/>
      <name val="Book Antiqua"/>
      <family val="1"/>
    </font>
    <font>
      <b/>
      <sz val="12"/>
      <color theme="3" tint="0.59999389629810485"/>
      <name val="Times New Roman"/>
      <family val="1"/>
    </font>
    <font>
      <sz val="9"/>
      <color indexed="81"/>
      <name val="Tahoma"/>
      <family val="2"/>
    </font>
    <font>
      <b/>
      <sz val="9"/>
      <color indexed="81"/>
      <name val="Tahoma"/>
      <family val="2"/>
    </font>
    <font>
      <sz val="12"/>
      <color theme="5" tint="-0.499984740745262"/>
      <name val="Times New Roman"/>
      <family val="1"/>
    </font>
    <font>
      <b/>
      <u/>
      <sz val="11"/>
      <name val="Times New Roman"/>
      <family val="1"/>
    </font>
    <font>
      <b/>
      <sz val="14"/>
      <color theme="1"/>
      <name val="Calibri"/>
      <family val="2"/>
      <scheme val="minor"/>
    </font>
    <font>
      <b/>
      <u val="singleAccounting"/>
      <sz val="11"/>
      <color theme="1"/>
      <name val="Calibri"/>
      <family val="2"/>
      <scheme val="minor"/>
    </font>
    <font>
      <sz val="11"/>
      <color theme="1"/>
      <name val="Book Antiqua"/>
      <family val="1"/>
    </font>
    <font>
      <sz val="11"/>
      <color rgb="FF000000"/>
      <name val="Book Antiqua"/>
      <family val="1"/>
    </font>
    <font>
      <u/>
      <sz val="11"/>
      <color theme="10"/>
      <name val="Times New Roman"/>
      <family val="2"/>
    </font>
    <font>
      <u/>
      <sz val="11"/>
      <color theme="10"/>
      <name val="Book Antiqua"/>
      <family val="1"/>
    </font>
    <font>
      <b/>
      <sz val="11"/>
      <color theme="1"/>
      <name val="Book Antiqua"/>
      <family val="1"/>
    </font>
    <font>
      <b/>
      <u/>
      <sz val="14"/>
      <color theme="1"/>
      <name val="Book Antiqua"/>
      <family val="1"/>
    </font>
    <font>
      <sz val="10"/>
      <color theme="1"/>
      <name val="Arial1"/>
    </font>
    <font>
      <sz val="10"/>
      <color indexed="8"/>
      <name val="Arial1"/>
    </font>
    <font>
      <b/>
      <sz val="18"/>
      <color indexed="56"/>
      <name val="Cambria"/>
      <family val="1"/>
    </font>
    <font>
      <sz val="11"/>
      <name val="Book Antiqua"/>
      <family val="1"/>
    </font>
    <font>
      <sz val="10"/>
      <name val="Arial"/>
      <family val="2"/>
    </font>
    <font>
      <b/>
      <sz val="14"/>
      <color rgb="FF231F20"/>
      <name val="Book Antiqua"/>
      <family val="1"/>
    </font>
  </fonts>
  <fills count="12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9"/>
      </patternFill>
    </fill>
    <fill>
      <patternFill patternType="solid">
        <fgColor indexed="12"/>
      </patternFill>
    </fill>
    <fill>
      <patternFill patternType="solid">
        <fgColor indexed="13"/>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2" tint="-9.9978637043366805E-2"/>
        <bgColor indexed="64"/>
      </patternFill>
    </fill>
    <fill>
      <patternFill patternType="solid">
        <fgColor rgb="FF00B0F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rgb="FF57BD68"/>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9"/>
        <bgColor indexed="26"/>
      </patternFill>
    </fill>
    <fill>
      <patternFill patternType="solid">
        <fgColor indexed="12"/>
        <bgColor indexed="39"/>
      </patternFill>
    </fill>
    <fill>
      <patternFill patternType="solid">
        <fgColor indexed="13"/>
        <bgColor indexed="34"/>
      </patternFill>
    </fill>
    <fill>
      <patternFill patternType="solid">
        <fgColor indexed="43"/>
        <bgColor indexed="64"/>
      </patternFill>
    </fill>
    <fill>
      <patternFill patternType="solid">
        <fgColor indexed="26"/>
        <bgColor indexed="64"/>
      </patternFill>
    </fill>
  </fills>
  <borders count="79">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top/>
      <bottom style="hair">
        <color auto="1"/>
      </bottom>
      <diagonal/>
    </border>
    <border>
      <left style="medium">
        <color indexed="64"/>
      </left>
      <right style="medium">
        <color indexed="64"/>
      </right>
      <top/>
      <bottom style="hair">
        <color auto="1"/>
      </bottom>
      <diagonal/>
    </border>
    <border>
      <left style="medium">
        <color indexed="64"/>
      </left>
      <right style="medium">
        <color indexed="64"/>
      </right>
      <top style="thin">
        <color indexed="64"/>
      </top>
      <bottom style="thin">
        <color indexed="64"/>
      </bottom>
      <diagonal/>
    </border>
    <border>
      <left/>
      <right/>
      <top style="hair">
        <color indexed="64"/>
      </top>
      <bottom/>
      <diagonal/>
    </border>
    <border>
      <left style="medium">
        <color indexed="64"/>
      </left>
      <right style="medium">
        <color indexed="64"/>
      </right>
      <top style="hair">
        <color indexed="64"/>
      </top>
      <bottom/>
      <diagonal/>
    </border>
    <border>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auto="1"/>
      </top>
      <bottom style="hair">
        <color auto="1"/>
      </bottom>
      <diagonal/>
    </border>
    <border>
      <left style="medium">
        <color indexed="64"/>
      </left>
      <right/>
      <top/>
      <bottom style="hair">
        <color auto="1"/>
      </bottom>
      <diagonal/>
    </border>
    <border>
      <left/>
      <right style="medium">
        <color indexed="64"/>
      </right>
      <top/>
      <bottom style="hair">
        <color auto="1"/>
      </bottom>
      <diagonal/>
    </border>
    <border>
      <left/>
      <right style="medium">
        <color indexed="64"/>
      </right>
      <top style="hair">
        <color auto="1"/>
      </top>
      <bottom style="hair">
        <color auto="1"/>
      </bottom>
      <diagonal/>
    </border>
    <border>
      <left style="medium">
        <color indexed="64"/>
      </left>
      <right/>
      <top style="thin">
        <color indexed="64"/>
      </top>
      <bottom style="medium">
        <color indexed="64"/>
      </bottom>
      <diagonal/>
    </border>
    <border>
      <left style="medium">
        <color indexed="64"/>
      </left>
      <right/>
      <top style="hair">
        <color auto="1"/>
      </top>
      <bottom style="thin">
        <color indexed="64"/>
      </bottom>
      <diagonal/>
    </border>
    <border>
      <left/>
      <right style="medium">
        <color indexed="64"/>
      </right>
      <top style="thin">
        <color indexed="64"/>
      </top>
      <bottom style="hair">
        <color indexed="64"/>
      </bottom>
      <diagonal/>
    </border>
    <border>
      <left/>
      <right/>
      <top style="medium">
        <color indexed="8"/>
      </top>
      <bottom style="medium">
        <color indexed="8"/>
      </bottom>
      <diagonal/>
    </border>
    <border>
      <left/>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s>
  <cellStyleXfs count="40466">
    <xf numFmtId="0" fontId="0" fillId="0" borderId="0"/>
    <xf numFmtId="43" fontId="17"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39" fontId="21"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0" borderId="1" applyNumberFormat="0" applyFont="0" applyFill="0" applyAlignment="0" applyProtection="0"/>
    <xf numFmtId="0" fontId="18" fillId="2" borderId="1" applyNumberFormat="0" applyFont="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0" fontId="17" fillId="0" borderId="0" applyNumberFormat="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8"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8"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8" fillId="41"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8"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8" fillId="4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4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8" fillId="4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5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8" fillId="5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8"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8" fillId="4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8" fillId="5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37" fillId="24"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37" fillId="26"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37" fillId="28"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37" fillId="30"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37" fillId="32"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37" fillId="34"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44" fillId="65" borderId="0" applyNumberFormat="0" applyBorder="0" applyAlignment="0" applyProtection="0"/>
    <xf numFmtId="0" fontId="44" fillId="66"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6" borderId="0" applyNumberFormat="0" applyBorder="0" applyAlignment="0" applyProtection="0"/>
    <xf numFmtId="0" fontId="44" fillId="66" borderId="0" applyNumberFormat="0" applyBorder="0" applyAlignment="0" applyProtection="0"/>
    <xf numFmtId="0" fontId="37" fillId="23"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6"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6"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37" fillId="25"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9" borderId="0" applyNumberFormat="0" applyBorder="0" applyAlignment="0" applyProtection="0"/>
    <xf numFmtId="0" fontId="44" fillId="70"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70" borderId="0" applyNumberFormat="0" applyBorder="0" applyAlignment="0" applyProtection="0"/>
    <xf numFmtId="0" fontId="44" fillId="70" borderId="0" applyNumberFormat="0" applyBorder="0" applyAlignment="0" applyProtection="0"/>
    <xf numFmtId="0" fontId="37" fillId="27"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70"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70"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37" fillId="2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37" fillId="3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37" fillId="33"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44" fillId="71" borderId="0" applyNumberFormat="0" applyBorder="0" applyAlignment="0" applyProtection="0"/>
    <xf numFmtId="0" fontId="44" fillId="71"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7" fillId="18"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6" fillId="73" borderId="31" applyNumberFormat="0" applyAlignment="0" applyProtection="0"/>
    <xf numFmtId="0" fontId="46" fillId="74"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4" borderId="31" applyNumberFormat="0" applyAlignment="0" applyProtection="0"/>
    <xf numFmtId="0" fontId="46" fillId="74" borderId="31" applyNumberFormat="0" applyAlignment="0" applyProtection="0"/>
    <xf numFmtId="0" fontId="31" fillId="21" borderId="16"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4" borderId="31" applyNumberFormat="0" applyAlignment="0" applyProtection="0"/>
    <xf numFmtId="0" fontId="46" fillId="73" borderId="31" applyNumberFormat="0" applyAlignment="0" applyProtection="0"/>
    <xf numFmtId="0" fontId="46" fillId="73" borderId="31" applyNumberFormat="0" applyAlignment="0" applyProtection="0"/>
    <xf numFmtId="0" fontId="46" fillId="74" borderId="31" applyNumberFormat="0" applyAlignment="0" applyProtection="0"/>
    <xf numFmtId="0" fontId="46" fillId="73" borderId="31" applyNumberFormat="0" applyAlignment="0" applyProtection="0"/>
    <xf numFmtId="0" fontId="46" fillId="73" borderId="31" applyNumberFormat="0" applyAlignment="0" applyProtection="0"/>
    <xf numFmtId="0" fontId="47" fillId="75" borderId="32" applyNumberFormat="0" applyAlignment="0" applyProtection="0"/>
    <xf numFmtId="0" fontId="47" fillId="76"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6" borderId="32" applyNumberFormat="0" applyAlignment="0" applyProtection="0"/>
    <xf numFmtId="0" fontId="47" fillId="76" borderId="32" applyNumberFormat="0" applyAlignment="0" applyProtection="0"/>
    <xf numFmtId="0" fontId="33" fillId="22" borderId="19"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6" borderId="32" applyNumberFormat="0" applyAlignment="0" applyProtection="0"/>
    <xf numFmtId="0" fontId="47" fillId="75" borderId="32" applyNumberFormat="0" applyAlignment="0" applyProtection="0"/>
    <xf numFmtId="0" fontId="47" fillId="75" borderId="32" applyNumberFormat="0" applyAlignment="0" applyProtection="0"/>
    <xf numFmtId="0" fontId="47" fillId="76" borderId="32" applyNumberFormat="0" applyAlignment="0" applyProtection="0"/>
    <xf numFmtId="0" fontId="47" fillId="75" borderId="32" applyNumberFormat="0" applyAlignment="0" applyProtection="0"/>
    <xf numFmtId="0" fontId="47" fillId="75" borderId="32" applyNumberFormat="0" applyAlignment="0" applyProtection="0"/>
    <xf numFmtId="41" fontId="12" fillId="0" borderId="0" applyFont="0" applyFill="0" applyBorder="0" applyAlignment="0" applyProtection="0"/>
    <xf numFmtId="41" fontId="12" fillId="0" borderId="0" applyFont="0" applyFill="0" applyBorder="0" applyAlignment="0" applyProtection="0"/>
    <xf numFmtId="41" fontId="17" fillId="0" borderId="0" applyFont="0" applyFill="0" applyBorder="0" applyAlignment="0" applyProtection="0"/>
    <xf numFmtId="41" fontId="12" fillId="0" borderId="0" applyFont="0" applyFill="0" applyBorder="0" applyAlignment="0" applyProtection="0"/>
    <xf numFmtId="41"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7" fillId="0" borderId="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7" fillId="0" borderId="0" applyFont="0" applyFill="0" applyBorder="0" applyAlignment="0" applyProtection="0"/>
    <xf numFmtId="168" fontId="1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alignment vertic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167" fontId="17" fillId="0" borderId="0" applyFill="0" applyBorder="0" applyAlignment="0" applyProtection="0"/>
    <xf numFmtId="167" fontId="17" fillId="0" borderId="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8" fontId="1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164" fontId="17" fillId="0" borderId="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70" fontId="49" fillId="0" borderId="27" applyFont="0" applyFill="0" applyAlignment="0" applyProtection="0"/>
    <xf numFmtId="44" fontId="17" fillId="0" borderId="0" applyFont="0" applyFill="0" applyBorder="0" applyAlignment="0" applyProtection="0"/>
    <xf numFmtId="0" fontId="50" fillId="0" borderId="0"/>
    <xf numFmtId="0" fontId="50" fillId="0" borderId="33"/>
    <xf numFmtId="0" fontId="51" fillId="77" borderId="0"/>
    <xf numFmtId="0" fontId="51" fillId="77" borderId="33"/>
    <xf numFmtId="0" fontId="51" fillId="77" borderId="33"/>
    <xf numFmtId="0" fontId="52" fillId="78" borderId="0"/>
    <xf numFmtId="171" fontId="17" fillId="0" borderId="0" applyFont="0" applyFill="0" applyBorder="0" applyAlignment="0" applyProtection="0"/>
    <xf numFmtId="172" fontId="17" fillId="0" borderId="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77" borderId="34"/>
    <xf numFmtId="0" fontId="54" fillId="77" borderId="33"/>
    <xf numFmtId="0" fontId="54" fillId="79" borderId="33"/>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26" fillId="17"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6" fillId="0" borderId="23" applyNumberFormat="0" applyAlignment="0" applyProtection="0">
      <alignment horizontal="left" vertical="center"/>
    </xf>
    <xf numFmtId="0" fontId="56" fillId="0" borderId="24">
      <alignment horizontal="left" vertical="center"/>
    </xf>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23" fillId="0" borderId="13"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24" fillId="0" borderId="14"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25" fillId="0" borderId="15"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5"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47" borderId="31" applyNumberFormat="0" applyAlignment="0" applyProtection="0"/>
    <xf numFmtId="0" fontId="60" fillId="48"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8" borderId="31" applyNumberFormat="0" applyAlignment="0" applyProtection="0"/>
    <xf numFmtId="0" fontId="60" fillId="48" borderId="31" applyNumberFormat="0" applyAlignment="0" applyProtection="0"/>
    <xf numFmtId="0" fontId="29" fillId="20" borderId="16"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8" borderId="31" applyNumberFormat="0" applyAlignment="0" applyProtection="0"/>
    <xf numFmtId="0" fontId="60" fillId="47" borderId="31" applyNumberFormat="0" applyAlignment="0" applyProtection="0"/>
    <xf numFmtId="0" fontId="60" fillId="47" borderId="31" applyNumberFormat="0" applyAlignment="0" applyProtection="0"/>
    <xf numFmtId="0" fontId="60" fillId="48" borderId="31" applyNumberFormat="0" applyAlignment="0" applyProtection="0"/>
    <xf numFmtId="0" fontId="60" fillId="47" borderId="31" applyNumberFormat="0" applyAlignment="0" applyProtection="0"/>
    <xf numFmtId="0" fontId="60" fillId="47" borderId="31" applyNumberFormat="0" applyAlignment="0" applyProtection="0"/>
    <xf numFmtId="0" fontId="61" fillId="79" borderId="33"/>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32" fillId="0" borderId="1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2" fillId="0" borderId="38" applyNumberFormat="0" applyFill="0" applyAlignment="0" applyProtection="0"/>
    <xf numFmtId="0" fontId="63" fillId="80" borderId="0" applyNumberFormat="0" applyBorder="0" applyAlignment="0" applyProtection="0"/>
    <xf numFmtId="0" fontId="63" fillId="81"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28" fillId="19"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4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2" fillId="0" borderId="0"/>
    <xf numFmtId="0" fontId="17" fillId="0" borderId="0"/>
    <xf numFmtId="0" fontId="12" fillId="0" borderId="0"/>
    <xf numFmtId="0" fontId="17"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7"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7" fillId="0" borderId="0"/>
    <xf numFmtId="0" fontId="17"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48" fillId="0" borderId="0"/>
    <xf numFmtId="0" fontId="12" fillId="0" borderId="0"/>
    <xf numFmtId="0" fontId="12" fillId="0" borderId="0"/>
    <xf numFmtId="0" fontId="12" fillId="0" borderId="0"/>
    <xf numFmtId="0" fontId="17" fillId="0" borderId="0"/>
    <xf numFmtId="0" fontId="48"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20"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7"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18" fillId="82" borderId="39" applyNumberFormat="0" applyFont="0" applyAlignment="0" applyProtection="0"/>
    <xf numFmtId="0" fontId="18"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8" fillId="82" borderId="39" applyNumberFormat="0" applyFont="0" applyAlignment="0" applyProtection="0"/>
    <xf numFmtId="0" fontId="17"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7"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7"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7"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7"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7" fillId="83" borderId="39" applyNumberForma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7" fillId="83" borderId="39" applyNumberForma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82" borderId="39" applyNumberFormat="0" applyFont="0" applyAlignment="0" applyProtection="0"/>
    <xf numFmtId="0" fontId="17" fillId="82" borderId="39"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0" fontId="64" fillId="73" borderId="40" applyNumberFormat="0" applyAlignment="0" applyProtection="0"/>
    <xf numFmtId="0" fontId="64" fillId="74"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4" borderId="40" applyNumberFormat="0" applyAlignment="0" applyProtection="0"/>
    <xf numFmtId="0" fontId="64" fillId="74" borderId="40" applyNumberFormat="0" applyAlignment="0" applyProtection="0"/>
    <xf numFmtId="0" fontId="30" fillId="21" borderId="17"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4" borderId="40" applyNumberFormat="0" applyAlignment="0" applyProtection="0"/>
    <xf numFmtId="0" fontId="64" fillId="73" borderId="40" applyNumberFormat="0" applyAlignment="0" applyProtection="0"/>
    <xf numFmtId="0" fontId="64" fillId="73" borderId="40" applyNumberFormat="0" applyAlignment="0" applyProtection="0"/>
    <xf numFmtId="0" fontId="64" fillId="74" borderId="40" applyNumberFormat="0" applyAlignment="0" applyProtection="0"/>
    <xf numFmtId="0" fontId="64" fillId="73" borderId="40" applyNumberFormat="0" applyAlignment="0" applyProtection="0"/>
    <xf numFmtId="0" fontId="64" fillId="73" borderId="40"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73" fontId="17"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173" fontId="65"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173" fontId="17" fillId="0" borderId="0" applyFont="0" applyFill="0" applyBorder="0" applyAlignment="0" applyProtection="0"/>
    <xf numFmtId="9" fontId="12" fillId="0" borderId="0" applyFont="0" applyFill="0" applyBorder="0" applyAlignment="0" applyProtection="0"/>
    <xf numFmtId="9" fontId="48" fillId="0" borderId="0" applyFont="0" applyFill="0" applyBorder="0" applyAlignment="0" applyProtection="0"/>
    <xf numFmtId="9" fontId="12" fillId="0" borderId="0" applyFont="0" applyFill="0" applyBorder="0" applyAlignment="0" applyProtection="0"/>
    <xf numFmtId="10" fontId="66" fillId="0" borderId="0"/>
    <xf numFmtId="0" fontId="50" fillId="0" borderId="0"/>
    <xf numFmtId="0" fontId="51" fillId="77" borderId="0"/>
    <xf numFmtId="0" fontId="50" fillId="0" borderId="33"/>
    <xf numFmtId="0" fontId="67" fillId="78" borderId="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36" fillId="0" borderId="20"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9" fillId="0" borderId="41" applyNumberFormat="0" applyFill="0" applyAlignment="0" applyProtection="0"/>
    <xf numFmtId="0" fontId="61" fillId="0" borderId="34"/>
    <xf numFmtId="0" fontId="61" fillId="0" borderId="33"/>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3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9" fontId="82" fillId="0" borderId="0" applyFont="0" applyFill="0" applyBorder="0" applyAlignment="0" applyProtection="0"/>
    <xf numFmtId="0" fontId="7" fillId="0" borderId="0"/>
    <xf numFmtId="43" fontId="7" fillId="0" borderId="0" applyFont="0" applyFill="0" applyBorder="0" applyAlignment="0" applyProtection="0"/>
    <xf numFmtId="41"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1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87" fillId="0" borderId="0"/>
    <xf numFmtId="43" fontId="87" fillId="0" borderId="0" applyFont="0" applyFill="0" applyBorder="0" applyAlignment="0" applyProtection="0"/>
    <xf numFmtId="0" fontId="2" fillId="0" borderId="0"/>
    <xf numFmtId="0" fontId="124" fillId="0" borderId="0" applyNumberFormat="0" applyFill="0" applyBorder="0" applyAlignment="0" applyProtection="0"/>
    <xf numFmtId="43" fontId="1" fillId="0" borderId="0" applyFont="0" applyFill="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9" borderId="0" applyNumberFormat="0" applyBorder="0" applyAlignment="0" applyProtection="0"/>
    <xf numFmtId="0" fontId="18" fillId="99" borderId="0" applyNumberFormat="0" applyBorder="0" applyAlignment="0" applyProtection="0"/>
    <xf numFmtId="0" fontId="18" fillId="99" borderId="0" applyNumberFormat="0" applyBorder="0" applyAlignment="0" applyProtection="0"/>
    <xf numFmtId="0" fontId="18" fillId="100" borderId="0" applyNumberFormat="0" applyBorder="0" applyAlignment="0" applyProtection="0"/>
    <xf numFmtId="0" fontId="18" fillId="100" borderId="0" applyNumberFormat="0" applyBorder="0" applyAlignment="0" applyProtection="0"/>
    <xf numFmtId="0" fontId="18" fillId="100" borderId="0" applyNumberFormat="0" applyBorder="0" applyAlignment="0" applyProtection="0"/>
    <xf numFmtId="0" fontId="18" fillId="101" borderId="0" applyNumberFormat="0" applyBorder="0" applyAlignment="0" applyProtection="0"/>
    <xf numFmtId="0" fontId="18" fillId="101" borderId="0" applyNumberFormat="0" applyBorder="0" applyAlignment="0" applyProtection="0"/>
    <xf numFmtId="0" fontId="18" fillId="101" borderId="0" applyNumberFormat="0" applyBorder="0" applyAlignment="0" applyProtection="0"/>
    <xf numFmtId="0" fontId="18" fillId="102" borderId="0" applyNumberFormat="0" applyBorder="0" applyAlignment="0" applyProtection="0"/>
    <xf numFmtId="0" fontId="18" fillId="102" borderId="0" applyNumberFormat="0" applyBorder="0" applyAlignment="0" applyProtection="0"/>
    <xf numFmtId="0" fontId="18" fillId="102" borderId="0" applyNumberFormat="0" applyBorder="0" applyAlignment="0" applyProtection="0"/>
    <xf numFmtId="0" fontId="18" fillId="103" borderId="0" applyNumberFormat="0" applyBorder="0" applyAlignment="0" applyProtection="0"/>
    <xf numFmtId="0" fontId="18" fillId="103" borderId="0" applyNumberFormat="0" applyBorder="0" applyAlignment="0" applyProtection="0"/>
    <xf numFmtId="0" fontId="18" fillId="103" borderId="0" applyNumberFormat="0" applyBorder="0" applyAlignment="0" applyProtection="0"/>
    <xf numFmtId="0" fontId="18" fillId="104" borderId="0" applyNumberFormat="0" applyBorder="0" applyAlignment="0" applyProtection="0"/>
    <xf numFmtId="0" fontId="18" fillId="104" borderId="0" applyNumberFormat="0" applyBorder="0" applyAlignment="0" applyProtection="0"/>
    <xf numFmtId="0" fontId="18" fillId="104" borderId="0" applyNumberFormat="0" applyBorder="0" applyAlignment="0" applyProtection="0"/>
    <xf numFmtId="0" fontId="18" fillId="105" borderId="0" applyNumberFormat="0" applyBorder="0" applyAlignment="0" applyProtection="0"/>
    <xf numFmtId="0" fontId="18" fillId="105" borderId="0" applyNumberFormat="0" applyBorder="0" applyAlignment="0" applyProtection="0"/>
    <xf numFmtId="0" fontId="18" fillId="105" borderId="0" applyNumberFormat="0" applyBorder="0" applyAlignment="0" applyProtection="0"/>
    <xf numFmtId="0" fontId="18" fillId="100" borderId="0" applyNumberFormat="0" applyBorder="0" applyAlignment="0" applyProtection="0"/>
    <xf numFmtId="0" fontId="18" fillId="100" borderId="0" applyNumberFormat="0" applyBorder="0" applyAlignment="0" applyProtection="0"/>
    <xf numFmtId="0" fontId="18" fillId="100" borderId="0" applyNumberFormat="0" applyBorder="0" applyAlignment="0" applyProtection="0"/>
    <xf numFmtId="0" fontId="18" fillId="103" borderId="0" applyNumberFormat="0" applyBorder="0" applyAlignment="0" applyProtection="0"/>
    <xf numFmtId="0" fontId="18" fillId="103" borderId="0" applyNumberFormat="0" applyBorder="0" applyAlignment="0" applyProtection="0"/>
    <xf numFmtId="0" fontId="18" fillId="103" borderId="0" applyNumberFormat="0" applyBorder="0" applyAlignment="0" applyProtection="0"/>
    <xf numFmtId="0" fontId="18" fillId="106" borderId="0" applyNumberFormat="0" applyBorder="0" applyAlignment="0" applyProtection="0"/>
    <xf numFmtId="0" fontId="18" fillId="106" borderId="0" applyNumberFormat="0" applyBorder="0" applyAlignment="0" applyProtection="0"/>
    <xf numFmtId="0" fontId="18" fillId="106" borderId="0" applyNumberFormat="0" applyBorder="0" applyAlignment="0" applyProtection="0"/>
    <xf numFmtId="0" fontId="44" fillId="107" borderId="0" applyNumberFormat="0" applyBorder="0" applyAlignment="0" applyProtection="0"/>
    <xf numFmtId="0" fontId="44" fillId="107" borderId="0" applyNumberFormat="0" applyBorder="0" applyAlignment="0" applyProtection="0"/>
    <xf numFmtId="0" fontId="44" fillId="107" borderId="0" applyNumberFormat="0" applyBorder="0" applyAlignment="0" applyProtection="0"/>
    <xf numFmtId="0" fontId="44" fillId="104" borderId="0" applyNumberFormat="0" applyBorder="0" applyAlignment="0" applyProtection="0"/>
    <xf numFmtId="0" fontId="44" fillId="104" borderId="0" applyNumberFormat="0" applyBorder="0" applyAlignment="0" applyProtection="0"/>
    <xf numFmtId="0" fontId="44" fillId="104" borderId="0" applyNumberFormat="0" applyBorder="0" applyAlignment="0" applyProtection="0"/>
    <xf numFmtId="0" fontId="44" fillId="105" borderId="0" applyNumberFormat="0" applyBorder="0" applyAlignment="0" applyProtection="0"/>
    <xf numFmtId="0" fontId="44" fillId="105" borderId="0" applyNumberFormat="0" applyBorder="0" applyAlignment="0" applyProtection="0"/>
    <xf numFmtId="0" fontId="44" fillId="105" borderId="0" applyNumberFormat="0" applyBorder="0" applyAlignment="0" applyProtection="0"/>
    <xf numFmtId="0" fontId="44" fillId="108" borderId="0" applyNumberFormat="0" applyBorder="0" applyAlignment="0" applyProtection="0"/>
    <xf numFmtId="0" fontId="44" fillId="108" borderId="0" applyNumberFormat="0" applyBorder="0" applyAlignment="0" applyProtection="0"/>
    <xf numFmtId="0" fontId="44" fillId="108" borderId="0" applyNumberFormat="0" applyBorder="0" applyAlignment="0" applyProtection="0"/>
    <xf numFmtId="0" fontId="44" fillId="109" borderId="0" applyNumberFormat="0" applyBorder="0" applyAlignment="0" applyProtection="0"/>
    <xf numFmtId="0" fontId="44" fillId="109" borderId="0" applyNumberFormat="0" applyBorder="0" applyAlignment="0" applyProtection="0"/>
    <xf numFmtId="0" fontId="44" fillId="109" borderId="0" applyNumberFormat="0" applyBorder="0" applyAlignment="0" applyProtection="0"/>
    <xf numFmtId="0" fontId="44" fillId="110" borderId="0" applyNumberFormat="0" applyBorder="0" applyAlignment="0" applyProtection="0"/>
    <xf numFmtId="0" fontId="44" fillId="110" borderId="0" applyNumberFormat="0" applyBorder="0" applyAlignment="0" applyProtection="0"/>
    <xf numFmtId="0" fontId="44" fillId="110" borderId="0" applyNumberFormat="0" applyBorder="0" applyAlignment="0" applyProtection="0"/>
    <xf numFmtId="0" fontId="44" fillId="111" borderId="0" applyNumberFormat="0" applyBorder="0" applyAlignment="0" applyProtection="0"/>
    <xf numFmtId="0" fontId="44" fillId="111" borderId="0" applyNumberFormat="0" applyBorder="0" applyAlignment="0" applyProtection="0"/>
    <xf numFmtId="0" fontId="44" fillId="111" borderId="0" applyNumberFormat="0" applyBorder="0" applyAlignment="0" applyProtection="0"/>
    <xf numFmtId="0" fontId="44" fillId="112" borderId="0" applyNumberFormat="0" applyBorder="0" applyAlignment="0" applyProtection="0"/>
    <xf numFmtId="0" fontId="44" fillId="112" borderId="0" applyNumberFormat="0" applyBorder="0" applyAlignment="0" applyProtection="0"/>
    <xf numFmtId="0" fontId="44" fillId="112" borderId="0" applyNumberFormat="0" applyBorder="0" applyAlignment="0" applyProtection="0"/>
    <xf numFmtId="0" fontId="44" fillId="113" borderId="0" applyNumberFormat="0" applyBorder="0" applyAlignment="0" applyProtection="0"/>
    <xf numFmtId="0" fontId="44" fillId="113" borderId="0" applyNumberFormat="0" applyBorder="0" applyAlignment="0" applyProtection="0"/>
    <xf numFmtId="0" fontId="44" fillId="113" borderId="0" applyNumberFormat="0" applyBorder="0" applyAlignment="0" applyProtection="0"/>
    <xf numFmtId="0" fontId="44" fillId="108" borderId="0" applyNumberFormat="0" applyBorder="0" applyAlignment="0" applyProtection="0"/>
    <xf numFmtId="0" fontId="44" fillId="108" borderId="0" applyNumberFormat="0" applyBorder="0" applyAlignment="0" applyProtection="0"/>
    <xf numFmtId="0" fontId="44" fillId="108" borderId="0" applyNumberFormat="0" applyBorder="0" applyAlignment="0" applyProtection="0"/>
    <xf numFmtId="0" fontId="44" fillId="109" borderId="0" applyNumberFormat="0" applyBorder="0" applyAlignment="0" applyProtection="0"/>
    <xf numFmtId="0" fontId="44" fillId="109" borderId="0" applyNumberFormat="0" applyBorder="0" applyAlignment="0" applyProtection="0"/>
    <xf numFmtId="0" fontId="44" fillId="109" borderId="0" applyNumberFormat="0" applyBorder="0" applyAlignment="0" applyProtection="0"/>
    <xf numFmtId="0" fontId="44" fillId="114" borderId="0" applyNumberFormat="0" applyBorder="0" applyAlignment="0" applyProtection="0"/>
    <xf numFmtId="0" fontId="44" fillId="114" borderId="0" applyNumberFormat="0" applyBorder="0" applyAlignment="0" applyProtection="0"/>
    <xf numFmtId="0" fontId="44" fillId="114" borderId="0" applyNumberFormat="0" applyBorder="0" applyAlignment="0" applyProtection="0"/>
    <xf numFmtId="0" fontId="45" fillId="98" borderId="0" applyNumberFormat="0" applyBorder="0" applyAlignment="0" applyProtection="0"/>
    <xf numFmtId="0" fontId="45" fillId="98" borderId="0" applyNumberFormat="0" applyBorder="0" applyAlignment="0" applyProtection="0"/>
    <xf numFmtId="0" fontId="45" fillId="98" borderId="0" applyNumberFormat="0" applyBorder="0" applyAlignment="0" applyProtection="0"/>
    <xf numFmtId="0" fontId="46" fillId="115" borderId="31" applyNumberFormat="0" applyAlignment="0" applyProtection="0"/>
    <xf numFmtId="0" fontId="46" fillId="115" borderId="31" applyNumberFormat="0" applyAlignment="0" applyProtection="0"/>
    <xf numFmtId="0" fontId="46" fillId="115" borderId="31" applyNumberFormat="0" applyAlignment="0" applyProtection="0"/>
    <xf numFmtId="0" fontId="47" fillId="116" borderId="32" applyNumberFormat="0" applyAlignment="0" applyProtection="0"/>
    <xf numFmtId="0" fontId="47" fillId="116" borderId="32" applyNumberFormat="0" applyAlignment="0" applyProtection="0"/>
    <xf numFmtId="0" fontId="47" fillId="116" borderId="32" applyNumberFormat="0" applyAlignment="0" applyProtection="0"/>
    <xf numFmtId="41" fontId="17" fillId="0" borderId="0" applyFont="0" applyFill="0" applyBorder="0" applyAlignment="0" applyProtection="0"/>
    <xf numFmtId="43" fontId="18" fillId="0" borderId="0" applyFont="0" applyFill="0" applyBorder="0" applyAlignment="0" applyProtection="0"/>
    <xf numFmtId="174" fontId="78" fillId="0" borderId="0" applyFont="0" applyFill="0" applyBorder="0" applyAlignment="0" applyProtection="0"/>
    <xf numFmtId="174" fontId="78" fillId="0" borderId="0" applyFont="0" applyFill="0" applyBorder="0" applyAlignment="0" applyProtection="0"/>
    <xf numFmtId="174"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7" fillId="0" borderId="0" applyFill="0" applyBorder="0" applyAlignment="0" applyProtection="0"/>
    <xf numFmtId="164" fontId="17"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1" fillId="117" borderId="0"/>
    <xf numFmtId="0" fontId="51" fillId="117" borderId="33"/>
    <xf numFmtId="0" fontId="51" fillId="117" borderId="33"/>
    <xf numFmtId="0" fontId="52" fillId="118" borderId="0"/>
    <xf numFmtId="178" fontId="128" fillId="0" borderId="0"/>
    <xf numFmtId="179" fontId="51" fillId="0" borderId="0"/>
    <xf numFmtId="172" fontId="51" fillId="0" borderId="0"/>
    <xf numFmtId="180" fontId="128" fillId="0" borderId="0"/>
    <xf numFmtId="0" fontId="129" fillId="0" borderId="0"/>
    <xf numFmtId="0" fontId="51" fillId="0" borderId="0"/>
    <xf numFmtId="0" fontId="53" fillId="0" borderId="0" applyNumberFormat="0" applyFill="0" applyBorder="0" applyAlignment="0" applyProtection="0"/>
    <xf numFmtId="0" fontId="53" fillId="0" borderId="0" applyNumberFormat="0" applyFill="0" applyBorder="0" applyAlignment="0" applyProtection="0"/>
    <xf numFmtId="0" fontId="54" fillId="117" borderId="34"/>
    <xf numFmtId="0" fontId="54" fillId="117" borderId="33"/>
    <xf numFmtId="0" fontId="54" fillId="119" borderId="33"/>
    <xf numFmtId="0" fontId="55" fillId="99" borderId="0" applyNumberFormat="0" applyBorder="0" applyAlignment="0" applyProtection="0"/>
    <xf numFmtId="0" fontId="55" fillId="99" borderId="0" applyNumberFormat="0" applyBorder="0" applyAlignment="0" applyProtection="0"/>
    <xf numFmtId="0" fontId="55" fillId="99" borderId="0" applyNumberFormat="0" applyBorder="0" applyAlignment="0" applyProtection="0"/>
    <xf numFmtId="0" fontId="56" fillId="0" borderId="72"/>
    <xf numFmtId="0" fontId="56" fillId="0" borderId="73">
      <alignment horizontal="left" vertical="center"/>
    </xf>
    <xf numFmtId="0" fontId="57" fillId="0" borderId="35" applyNumberFormat="0" applyFill="0" applyAlignment="0" applyProtection="0"/>
    <xf numFmtId="0" fontId="57" fillId="0" borderId="35"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9" fillId="0" borderId="37" applyNumberFormat="0" applyFill="0" applyAlignment="0" applyProtection="0"/>
    <xf numFmtId="0" fontId="59" fillId="0" borderId="37"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102" borderId="31" applyNumberFormat="0" applyAlignment="0" applyProtection="0"/>
    <xf numFmtId="0" fontId="60" fillId="102" borderId="31" applyNumberFormat="0" applyAlignment="0" applyProtection="0"/>
    <xf numFmtId="0" fontId="60" fillId="102" borderId="31" applyNumberFormat="0" applyAlignment="0" applyProtection="0"/>
    <xf numFmtId="0" fontId="62" fillId="0" borderId="38" applyNumberFormat="0" applyFill="0" applyAlignment="0" applyProtection="0"/>
    <xf numFmtId="0" fontId="62" fillId="0" borderId="38" applyNumberFormat="0" applyFill="0" applyAlignment="0" applyProtection="0"/>
    <xf numFmtId="0" fontId="63" fillId="120" borderId="0" applyNumberFormat="0" applyBorder="0" applyAlignment="0" applyProtection="0"/>
    <xf numFmtId="0" fontId="63" fillId="120" borderId="0" applyNumberFormat="0" applyBorder="0" applyAlignment="0" applyProtection="0"/>
    <xf numFmtId="0" fontId="63" fillId="120" borderId="0" applyNumberFormat="0" applyBorder="0" applyAlignment="0" applyProtection="0"/>
    <xf numFmtId="0" fontId="1"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121" borderId="39" applyNumberFormat="0" applyFont="0" applyAlignment="0" applyProtection="0"/>
    <xf numFmtId="0" fontId="18" fillId="121" borderId="39" applyNumberFormat="0" applyFont="0" applyAlignment="0" applyProtection="0"/>
    <xf numFmtId="0" fontId="18" fillId="121" borderId="39" applyNumberFormat="0" applyFont="0" applyAlignment="0" applyProtection="0"/>
    <xf numFmtId="0" fontId="64" fillId="115" borderId="40" applyNumberFormat="0" applyAlignment="0" applyProtection="0"/>
    <xf numFmtId="0" fontId="64" fillId="115" borderId="40" applyNumberFormat="0" applyAlignment="0" applyProtection="0"/>
    <xf numFmtId="0" fontId="64" fillId="115" borderId="40" applyNumberFormat="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1" fillId="117"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9" fillId="0" borderId="41" applyNumberFormat="0" applyFill="0" applyAlignment="0" applyProtection="0"/>
    <xf numFmtId="0" fontId="69" fillId="0" borderId="41"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44" fontId="132" fillId="0" borderId="0" applyFont="0" applyFill="0" applyBorder="0" applyAlignment="0" applyProtection="0"/>
  </cellStyleXfs>
  <cellXfs count="1818">
    <xf numFmtId="0" fontId="0" fillId="0" borderId="0" xfId="0"/>
    <xf numFmtId="0" fontId="15" fillId="0" borderId="0" xfId="0" applyFont="1"/>
    <xf numFmtId="0" fontId="16" fillId="0" borderId="0" xfId="0" applyFont="1"/>
    <xf numFmtId="43" fontId="15" fillId="0" borderId="0" xfId="1" applyFont="1"/>
    <xf numFmtId="164" fontId="15" fillId="0" borderId="0" xfId="1" applyNumberFormat="1" applyFont="1" applyFill="1" applyBorder="1"/>
    <xf numFmtId="164" fontId="15" fillId="0" borderId="0" xfId="1" applyNumberFormat="1" applyFont="1"/>
    <xf numFmtId="164" fontId="16" fillId="0" borderId="0" xfId="1" applyNumberFormat="1" applyFont="1" applyFill="1"/>
    <xf numFmtId="0" fontId="0" fillId="0" borderId="0" xfId="0" applyBorder="1"/>
    <xf numFmtId="0" fontId="42" fillId="0" borderId="0" xfId="0" applyFont="1" applyBorder="1"/>
    <xf numFmtId="0" fontId="71" fillId="0" borderId="0" xfId="14457" applyFont="1"/>
    <xf numFmtId="0" fontId="71" fillId="0" borderId="0" xfId="14457" applyFont="1" applyBorder="1"/>
    <xf numFmtId="164" fontId="71" fillId="0" borderId="0" xfId="14458" applyNumberFormat="1" applyFont="1" applyFill="1" applyBorder="1"/>
    <xf numFmtId="0" fontId="71" fillId="0" borderId="0" xfId="14457" applyFont="1" applyFill="1" applyBorder="1"/>
    <xf numFmtId="0" fontId="71" fillId="0" borderId="0" xfId="14457" applyFont="1" applyFill="1"/>
    <xf numFmtId="0" fontId="38" fillId="0" borderId="0" xfId="14457" applyFont="1" applyBorder="1"/>
    <xf numFmtId="0" fontId="38" fillId="0" borderId="0" xfId="14457" applyFont="1" applyBorder="1" applyAlignment="1">
      <alignment horizontal="center" wrapText="1"/>
    </xf>
    <xf numFmtId="0" fontId="38" fillId="0" borderId="29" xfId="14457" applyFont="1" applyFill="1" applyBorder="1" applyAlignment="1">
      <alignment horizontal="center" wrapText="1"/>
    </xf>
    <xf numFmtId="0" fontId="71" fillId="0" borderId="29" xfId="14457" applyFont="1" applyBorder="1"/>
    <xf numFmtId="164" fontId="38" fillId="35" borderId="0" xfId="14458" quotePrefix="1" applyNumberFormat="1" applyFont="1" applyFill="1" applyBorder="1" applyAlignment="1">
      <alignment horizontal="center"/>
    </xf>
    <xf numFmtId="0" fontId="38" fillId="0" borderId="0" xfId="14457" quotePrefix="1" applyFont="1" applyBorder="1" applyAlignment="1">
      <alignment horizontal="center"/>
    </xf>
    <xf numFmtId="0" fontId="38" fillId="0" borderId="0" xfId="14457" quotePrefix="1" applyFont="1" applyFill="1" applyBorder="1" applyAlignment="1">
      <alignment horizontal="center"/>
    </xf>
    <xf numFmtId="0" fontId="38" fillId="0" borderId="29" xfId="14457" applyFont="1" applyBorder="1"/>
    <xf numFmtId="164" fontId="38" fillId="35" borderId="29" xfId="14458" quotePrefix="1" applyNumberFormat="1" applyFont="1" applyFill="1" applyBorder="1" applyAlignment="1">
      <alignment horizontal="center"/>
    </xf>
    <xf numFmtId="164" fontId="38" fillId="0" borderId="29" xfId="14458" quotePrefix="1" applyNumberFormat="1" applyFont="1" applyFill="1" applyBorder="1" applyAlignment="1">
      <alignment horizontal="center"/>
    </xf>
    <xf numFmtId="0" fontId="38" fillId="0" borderId="29" xfId="14457" quotePrefix="1" applyFont="1" applyFill="1" applyBorder="1" applyAlignment="1">
      <alignment horizontal="center"/>
    </xf>
    <xf numFmtId="164" fontId="71" fillId="35" borderId="0" xfId="14458" applyNumberFormat="1" applyFont="1" applyFill="1" applyBorder="1"/>
    <xf numFmtId="164" fontId="38" fillId="0" borderId="0" xfId="14458" applyNumberFormat="1" applyFont="1" applyFill="1" applyBorder="1"/>
    <xf numFmtId="0" fontId="38" fillId="0" borderId="0" xfId="14457" applyFont="1"/>
    <xf numFmtId="164" fontId="71" fillId="35" borderId="21" xfId="14458" applyNumberFormat="1" applyFont="1" applyFill="1" applyBorder="1"/>
    <xf numFmtId="164" fontId="71" fillId="0" borderId="21" xfId="14458" applyNumberFormat="1" applyFont="1" applyFill="1" applyBorder="1"/>
    <xf numFmtId="164" fontId="38" fillId="35" borderId="0" xfId="14458" applyNumberFormat="1" applyFont="1" applyFill="1" applyBorder="1"/>
    <xf numFmtId="164" fontId="71" fillId="0" borderId="0" xfId="1" applyNumberFormat="1" applyFont="1" applyFill="1" applyBorder="1"/>
    <xf numFmtId="43" fontId="71" fillId="0" borderId="0" xfId="14457" applyNumberFormat="1" applyFont="1" applyBorder="1"/>
    <xf numFmtId="43" fontId="71" fillId="0" borderId="0" xfId="14457" applyNumberFormat="1" applyFont="1"/>
    <xf numFmtId="43" fontId="38" fillId="0" borderId="0" xfId="1" applyFont="1" applyBorder="1"/>
    <xf numFmtId="164" fontId="71" fillId="35" borderId="0" xfId="1" applyNumberFormat="1" applyFont="1" applyFill="1" applyBorder="1"/>
    <xf numFmtId="164" fontId="38" fillId="35" borderId="42" xfId="14458" applyNumberFormat="1" applyFont="1" applyFill="1" applyBorder="1"/>
    <xf numFmtId="164" fontId="38" fillId="0" borderId="42" xfId="14458" applyNumberFormat="1" applyFont="1" applyFill="1" applyBorder="1"/>
    <xf numFmtId="164" fontId="71" fillId="0" borderId="0" xfId="14458" applyNumberFormat="1" applyFont="1" applyBorder="1"/>
    <xf numFmtId="43" fontId="71" fillId="35" borderId="0" xfId="14458" applyFont="1" applyFill="1" applyBorder="1" applyAlignment="1">
      <alignment horizontal="center"/>
    </xf>
    <xf numFmtId="43" fontId="71" fillId="0" borderId="0" xfId="14458" applyFont="1" applyFill="1" applyBorder="1" applyAlignment="1">
      <alignment horizontal="center"/>
    </xf>
    <xf numFmtId="0" fontId="72" fillId="0" borderId="0" xfId="14457" applyFont="1"/>
    <xf numFmtId="10" fontId="72" fillId="0" borderId="0" xfId="14454" applyNumberFormat="1" applyFont="1" applyFill="1"/>
    <xf numFmtId="164" fontId="72" fillId="0" borderId="0" xfId="14457" applyNumberFormat="1" applyFont="1" applyFill="1"/>
    <xf numFmtId="10" fontId="71" fillId="0" borderId="0" xfId="14454" applyNumberFormat="1" applyFont="1"/>
    <xf numFmtId="164" fontId="71" fillId="0" borderId="0" xfId="14457" applyNumberFormat="1" applyFont="1" applyFill="1"/>
    <xf numFmtId="164" fontId="71" fillId="0" borderId="0" xfId="14458" applyNumberFormat="1" applyFont="1" applyFill="1"/>
    <xf numFmtId="164" fontId="71" fillId="36" borderId="0" xfId="14458" applyNumberFormat="1" applyFont="1" applyFill="1" applyBorder="1"/>
    <xf numFmtId="164" fontId="73" fillId="36" borderId="0" xfId="14458" applyNumberFormat="1" applyFont="1" applyFill="1" applyBorder="1"/>
    <xf numFmtId="164" fontId="72" fillId="36" borderId="0" xfId="14458" applyNumberFormat="1" applyFont="1" applyFill="1" applyBorder="1"/>
    <xf numFmtId="164" fontId="72" fillId="0" borderId="0" xfId="14458" applyNumberFormat="1" applyFont="1" applyFill="1" applyBorder="1"/>
    <xf numFmtId="164" fontId="38" fillId="0" borderId="0" xfId="14458" quotePrefix="1" applyNumberFormat="1" applyFont="1" applyFill="1" applyBorder="1" applyAlignment="1">
      <alignment horizontal="center"/>
    </xf>
    <xf numFmtId="0" fontId="38" fillId="0" borderId="0" xfId="14457" applyFont="1" applyBorder="1" applyAlignment="1">
      <alignment horizontal="center"/>
    </xf>
    <xf numFmtId="0" fontId="38" fillId="0" borderId="29" xfId="14457" applyFont="1" applyBorder="1" applyAlignment="1">
      <alignment horizontal="center"/>
    </xf>
    <xf numFmtId="0" fontId="71" fillId="35" borderId="0" xfId="14457" applyFont="1" applyFill="1" applyBorder="1"/>
    <xf numFmtId="164" fontId="38" fillId="0" borderId="0" xfId="14458" applyNumberFormat="1" applyFont="1" applyBorder="1"/>
    <xf numFmtId="0" fontId="38" fillId="35" borderId="0" xfId="14457" applyFont="1" applyFill="1" applyBorder="1"/>
    <xf numFmtId="0" fontId="71" fillId="0" borderId="0" xfId="14457" applyFont="1" applyBorder="1" applyAlignment="1">
      <alignment vertical="top" wrapText="1"/>
    </xf>
    <xf numFmtId="0" fontId="15" fillId="0" borderId="0" xfId="14457" applyFont="1" applyBorder="1" applyAlignment="1">
      <alignment vertical="top" wrapText="1"/>
    </xf>
    <xf numFmtId="164" fontId="15" fillId="35" borderId="0" xfId="14458" applyNumberFormat="1" applyFont="1" applyFill="1" applyBorder="1"/>
    <xf numFmtId="164" fontId="15" fillId="0" borderId="0" xfId="14458" applyNumberFormat="1" applyFont="1" applyBorder="1"/>
    <xf numFmtId="0" fontId="15" fillId="0" borderId="0" xfId="14457" applyFont="1" applyBorder="1"/>
    <xf numFmtId="0" fontId="15" fillId="0" borderId="0" xfId="14457" applyFont="1"/>
    <xf numFmtId="164" fontId="71" fillId="0" borderId="21" xfId="14458" applyNumberFormat="1" applyFont="1" applyBorder="1"/>
    <xf numFmtId="164" fontId="38" fillId="0" borderId="21" xfId="14458" applyNumberFormat="1" applyFont="1" applyBorder="1"/>
    <xf numFmtId="164" fontId="71" fillId="0" borderId="0" xfId="14457" applyNumberFormat="1" applyFont="1" applyBorder="1"/>
    <xf numFmtId="164" fontId="38" fillId="35" borderId="30" xfId="14457" applyNumberFormat="1" applyFont="1" applyFill="1" applyBorder="1"/>
    <xf numFmtId="164" fontId="38" fillId="0" borderId="0" xfId="14457" applyNumberFormat="1" applyFont="1" applyBorder="1"/>
    <xf numFmtId="164" fontId="38" fillId="0" borderId="30" xfId="14457" applyNumberFormat="1" applyFont="1" applyBorder="1"/>
    <xf numFmtId="164" fontId="38" fillId="35" borderId="30" xfId="14458" applyNumberFormat="1" applyFont="1" applyFill="1" applyBorder="1"/>
    <xf numFmtId="164" fontId="38" fillId="0" borderId="30" xfId="14458" applyNumberFormat="1" applyFont="1" applyBorder="1"/>
    <xf numFmtId="164" fontId="38" fillId="35" borderId="0" xfId="14457" applyNumberFormat="1" applyFont="1" applyFill="1" applyBorder="1"/>
    <xf numFmtId="0" fontId="38" fillId="0" borderId="0" xfId="40064" applyFont="1" applyFill="1"/>
    <xf numFmtId="0" fontId="71" fillId="0" borderId="0" xfId="40064" applyFont="1" applyFill="1" applyAlignment="1">
      <alignment horizontal="center"/>
    </xf>
    <xf numFmtId="164" fontId="71" fillId="0" borderId="0" xfId="40065" applyNumberFormat="1" applyFont="1" applyFill="1"/>
    <xf numFmtId="0" fontId="71" fillId="0" borderId="0" xfId="40064" applyFont="1" applyFill="1"/>
    <xf numFmtId="0" fontId="71" fillId="0" borderId="0" xfId="40064" applyFont="1"/>
    <xf numFmtId="0" fontId="71" fillId="0" borderId="0" xfId="40064" applyFont="1" applyFill="1" applyBorder="1"/>
    <xf numFmtId="0" fontId="71" fillId="0" borderId="0" xfId="40064" applyFont="1" applyFill="1" applyBorder="1" applyAlignment="1">
      <alignment horizontal="center"/>
    </xf>
    <xf numFmtId="164" fontId="71" fillId="0" borderId="0" xfId="40065" applyNumberFormat="1" applyFont="1" applyFill="1" applyBorder="1"/>
    <xf numFmtId="0" fontId="38" fillId="0" borderId="0" xfId="40064" applyFont="1" applyFill="1" applyBorder="1"/>
    <xf numFmtId="164" fontId="38" fillId="0" borderId="0" xfId="40065" quotePrefix="1" applyNumberFormat="1" applyFont="1" applyFill="1" applyBorder="1" applyAlignment="1">
      <alignment horizontal="center"/>
    </xf>
    <xf numFmtId="0" fontId="38" fillId="0" borderId="0" xfId="40064" applyFont="1" applyFill="1" applyBorder="1" applyAlignment="1">
      <alignment horizontal="center" wrapText="1"/>
    </xf>
    <xf numFmtId="164" fontId="71" fillId="0" borderId="0" xfId="40064" applyNumberFormat="1" applyFont="1"/>
    <xf numFmtId="0" fontId="71" fillId="16" borderId="0" xfId="40064" applyFont="1" applyFill="1"/>
    <xf numFmtId="164" fontId="72" fillId="0" borderId="0" xfId="40065" applyNumberFormat="1" applyFont="1" applyFill="1" applyBorder="1"/>
    <xf numFmtId="43" fontId="72" fillId="0" borderId="0" xfId="1" applyFont="1" applyFill="1" applyBorder="1"/>
    <xf numFmtId="164" fontId="71" fillId="0" borderId="0" xfId="40064" applyNumberFormat="1" applyFont="1" applyFill="1"/>
    <xf numFmtId="0" fontId="71" fillId="84" borderId="0" xfId="40064" applyFont="1" applyFill="1"/>
    <xf numFmtId="0" fontId="38" fillId="0" borderId="0" xfId="40064" applyFont="1" applyFill="1" applyBorder="1" applyAlignment="1">
      <alignment horizontal="center"/>
    </xf>
    <xf numFmtId="164" fontId="38" fillId="0" borderId="0" xfId="40065" applyNumberFormat="1" applyFont="1" applyFill="1" applyBorder="1"/>
    <xf numFmtId="0" fontId="38" fillId="0" borderId="0" xfId="40064" applyFont="1"/>
    <xf numFmtId="0" fontId="15" fillId="0" borderId="0" xfId="40064" applyFont="1" applyFill="1" applyBorder="1"/>
    <xf numFmtId="43" fontId="71" fillId="0" borderId="0" xfId="1" applyFont="1" applyFill="1" applyBorder="1"/>
    <xf numFmtId="0" fontId="38" fillId="0" borderId="0" xfId="40064" applyFont="1" applyFill="1" applyBorder="1" applyAlignment="1">
      <alignment vertical="center" wrapText="1"/>
    </xf>
    <xf numFmtId="0" fontId="38" fillId="0" borderId="0" xfId="40064" applyFont="1" applyFill="1" applyBorder="1" applyAlignment="1">
      <alignment horizontal="center" vertical="center"/>
    </xf>
    <xf numFmtId="164" fontId="38" fillId="0" borderId="0" xfId="40065" applyNumberFormat="1" applyFont="1" applyFill="1" applyBorder="1" applyAlignment="1">
      <alignment vertical="center"/>
    </xf>
    <xf numFmtId="0" fontId="38" fillId="0" borderId="0" xfId="40064" applyFont="1" applyAlignment="1">
      <alignment vertical="center"/>
    </xf>
    <xf numFmtId="43" fontId="71" fillId="0" borderId="0" xfId="1" applyFont="1" applyFill="1"/>
    <xf numFmtId="43" fontId="72" fillId="0" borderId="0" xfId="1" applyFont="1" applyFill="1"/>
    <xf numFmtId="43" fontId="73" fillId="0" borderId="0" xfId="40065" applyFont="1" applyFill="1" applyBorder="1"/>
    <xf numFmtId="43" fontId="71" fillId="0" borderId="0" xfId="40064" applyNumberFormat="1" applyFont="1" applyFill="1"/>
    <xf numFmtId="43" fontId="71" fillId="0" borderId="0" xfId="40065" applyFont="1" applyFill="1"/>
    <xf numFmtId="0" fontId="38" fillId="0" borderId="29" xfId="40064" applyFont="1" applyFill="1" applyBorder="1"/>
    <xf numFmtId="0" fontId="38" fillId="0" borderId="29" xfId="40064" applyFont="1" applyFill="1" applyBorder="1" applyAlignment="1">
      <alignment horizontal="center" wrapText="1"/>
    </xf>
    <xf numFmtId="164" fontId="38" fillId="0" borderId="29" xfId="40065" quotePrefix="1" applyNumberFormat="1" applyFont="1" applyFill="1" applyBorder="1" applyAlignment="1">
      <alignment horizontal="center"/>
    </xf>
    <xf numFmtId="164" fontId="38" fillId="0" borderId="24" xfId="40065" applyNumberFormat="1" applyFont="1" applyFill="1" applyBorder="1"/>
    <xf numFmtId="164" fontId="38" fillId="0" borderId="30" xfId="40065" applyNumberFormat="1" applyFont="1" applyFill="1" applyBorder="1"/>
    <xf numFmtId="0" fontId="38" fillId="0" borderId="0" xfId="40064" applyFont="1" applyFill="1" applyBorder="1" applyAlignment="1">
      <alignment vertical="center"/>
    </xf>
    <xf numFmtId="0" fontId="71" fillId="0" borderId="0" xfId="40064" applyFont="1" applyFill="1" applyBorder="1" applyAlignment="1">
      <alignment vertical="center" wrapText="1"/>
    </xf>
    <xf numFmtId="0" fontId="71" fillId="0" borderId="0" xfId="40064" applyFont="1" applyFill="1" applyBorder="1" applyAlignment="1">
      <alignment vertical="center"/>
    </xf>
    <xf numFmtId="0" fontId="75" fillId="0" borderId="0" xfId="2190" applyFont="1"/>
    <xf numFmtId="0" fontId="15" fillId="0" borderId="0" xfId="2190" applyFont="1" applyAlignment="1"/>
    <xf numFmtId="0" fontId="0" fillId="0" borderId="0" xfId="0" applyAlignment="1"/>
    <xf numFmtId="0" fontId="39" fillId="0" borderId="0" xfId="2190" applyFont="1" applyAlignment="1"/>
    <xf numFmtId="0" fontId="15" fillId="0" borderId="0" xfId="2190" applyFont="1"/>
    <xf numFmtId="17" fontId="15" fillId="16" borderId="0" xfId="2190" applyNumberFormat="1" applyFont="1" applyFill="1" applyAlignment="1">
      <alignment horizontal="left"/>
    </xf>
    <xf numFmtId="164" fontId="38" fillId="35" borderId="0" xfId="40065" quotePrefix="1" applyNumberFormat="1" applyFont="1" applyFill="1" applyBorder="1" applyAlignment="1">
      <alignment horizontal="center"/>
    </xf>
    <xf numFmtId="164" fontId="38" fillId="35" borderId="29" xfId="40065" quotePrefix="1" applyNumberFormat="1" applyFont="1" applyFill="1" applyBorder="1" applyAlignment="1">
      <alignment horizontal="center"/>
    </xf>
    <xf numFmtId="164" fontId="71" fillId="35" borderId="0" xfId="40065" applyNumberFormat="1" applyFont="1" applyFill="1" applyBorder="1"/>
    <xf numFmtId="164" fontId="38" fillId="35" borderId="30" xfId="40065" applyNumberFormat="1" applyFont="1" applyFill="1" applyBorder="1"/>
    <xf numFmtId="164" fontId="38" fillId="35" borderId="0" xfId="40065" applyNumberFormat="1" applyFont="1" applyFill="1" applyBorder="1"/>
    <xf numFmtId="43" fontId="71" fillId="35" borderId="0" xfId="1" applyFont="1" applyFill="1" applyBorder="1"/>
    <xf numFmtId="164" fontId="38" fillId="35" borderId="24" xfId="40065" applyNumberFormat="1" applyFont="1" applyFill="1" applyBorder="1"/>
    <xf numFmtId="164" fontId="38" fillId="35" borderId="0" xfId="40065" applyNumberFormat="1" applyFont="1" applyFill="1" applyBorder="1" applyAlignment="1">
      <alignment vertical="center"/>
    </xf>
    <xf numFmtId="164" fontId="72" fillId="35" borderId="0" xfId="40065" applyNumberFormat="1" applyFont="1" applyFill="1" applyBorder="1"/>
    <xf numFmtId="164" fontId="38" fillId="35" borderId="42" xfId="40065" applyNumberFormat="1" applyFont="1" applyFill="1" applyBorder="1"/>
    <xf numFmtId="164" fontId="38" fillId="0" borderId="42" xfId="40065" applyNumberFormat="1" applyFont="1" applyFill="1" applyBorder="1"/>
    <xf numFmtId="164" fontId="71" fillId="0" borderId="0" xfId="40065" applyNumberFormat="1" applyFont="1"/>
    <xf numFmtId="164" fontId="71" fillId="0" borderId="0" xfId="40065" applyNumberFormat="1" applyFont="1" applyFill="1" applyAlignment="1">
      <alignment vertical="center"/>
    </xf>
    <xf numFmtId="0" fontId="71" fillId="0" borderId="0" xfId="40064" applyFont="1" applyAlignment="1">
      <alignment vertical="center"/>
    </xf>
    <xf numFmtId="0" fontId="38" fillId="0" borderId="0" xfId="40064" applyFont="1" applyBorder="1" applyAlignment="1">
      <alignment horizontal="center"/>
    </xf>
    <xf numFmtId="164" fontId="38" fillId="0" borderId="0" xfId="40065" applyNumberFormat="1" applyFont="1" applyBorder="1" applyAlignment="1">
      <alignment horizontal="center" wrapText="1"/>
    </xf>
    <xf numFmtId="164" fontId="38" fillId="0" borderId="0" xfId="40065" applyNumberFormat="1" applyFont="1" applyFill="1" applyBorder="1" applyAlignment="1">
      <alignment horizontal="center" wrapText="1"/>
    </xf>
    <xf numFmtId="164" fontId="38" fillId="0" borderId="0" xfId="40065" applyNumberFormat="1" applyFont="1" applyFill="1"/>
    <xf numFmtId="164" fontId="38" fillId="0" borderId="0" xfId="40064" applyNumberFormat="1" applyFont="1"/>
    <xf numFmtId="164" fontId="38" fillId="0" borderId="0" xfId="40065" applyNumberFormat="1" applyFont="1" applyBorder="1"/>
    <xf numFmtId="164" fontId="71" fillId="0" borderId="0" xfId="40065" applyNumberFormat="1" applyFont="1" applyBorder="1"/>
    <xf numFmtId="0" fontId="38" fillId="0" borderId="0" xfId="40064" applyFont="1" applyBorder="1"/>
    <xf numFmtId="0" fontId="71" fillId="0" borderId="0" xfId="40064" applyFont="1" applyBorder="1"/>
    <xf numFmtId="164" fontId="38" fillId="0" borderId="0" xfId="40065" applyNumberFormat="1" applyFont="1" applyBorder="1" applyAlignment="1">
      <alignment horizontal="center" vertical="center" wrapText="1"/>
    </xf>
    <xf numFmtId="164" fontId="38" fillId="0" borderId="0" xfId="40065" applyNumberFormat="1" applyFont="1" applyFill="1" applyBorder="1" applyAlignment="1">
      <alignment horizontal="center" vertical="center" wrapText="1"/>
    </xf>
    <xf numFmtId="164" fontId="71" fillId="0" borderId="0" xfId="40065" applyNumberFormat="1" applyFont="1" applyBorder="1" applyAlignment="1">
      <alignment wrapText="1"/>
    </xf>
    <xf numFmtId="0" fontId="38" fillId="0" borderId="0" xfId="40064" applyFont="1" applyBorder="1" applyAlignment="1">
      <alignment horizontal="left" vertical="top"/>
    </xf>
    <xf numFmtId="164" fontId="38" fillId="0" borderId="29" xfId="40065" applyNumberFormat="1" applyFont="1" applyBorder="1" applyAlignment="1">
      <alignment horizontal="center" vertical="center" wrapText="1"/>
    </xf>
    <xf numFmtId="0" fontId="38" fillId="0" borderId="29" xfId="40064" applyFont="1" applyBorder="1" applyAlignment="1">
      <alignment horizontal="left" vertical="center"/>
    </xf>
    <xf numFmtId="164" fontId="71" fillId="0" borderId="21" xfId="40065" applyNumberFormat="1" applyFont="1" applyBorder="1"/>
    <xf numFmtId="164" fontId="71" fillId="0" borderId="21" xfId="40065" applyNumberFormat="1" applyFont="1" applyFill="1" applyBorder="1"/>
    <xf numFmtId="164" fontId="38" fillId="0" borderId="42" xfId="40065" applyNumberFormat="1" applyFont="1" applyBorder="1"/>
    <xf numFmtId="164" fontId="38" fillId="0" borderId="29" xfId="40065" applyNumberFormat="1" applyFont="1" applyBorder="1" applyAlignment="1">
      <alignment vertical="center" wrapText="1"/>
    </xf>
    <xf numFmtId="164" fontId="38" fillId="0" borderId="0" xfId="40065" applyNumberFormat="1" applyFont="1" applyBorder="1" applyAlignment="1">
      <alignment vertical="center" wrapText="1"/>
    </xf>
    <xf numFmtId="0" fontId="15" fillId="0" borderId="0" xfId="40064" applyFont="1" applyFill="1"/>
    <xf numFmtId="0" fontId="16" fillId="0" borderId="0" xfId="40064" applyFont="1" applyFill="1"/>
    <xf numFmtId="164" fontId="15" fillId="0" borderId="0" xfId="40065" applyNumberFormat="1" applyFont="1" applyFill="1"/>
    <xf numFmtId="164" fontId="16" fillId="0" borderId="30" xfId="40065" applyNumberFormat="1" applyFont="1" applyFill="1" applyBorder="1"/>
    <xf numFmtId="0" fontId="16" fillId="0" borderId="0" xfId="40064" applyFont="1" applyFill="1" applyBorder="1"/>
    <xf numFmtId="164" fontId="16" fillId="0" borderId="0" xfId="40065" applyNumberFormat="1" applyFont="1" applyFill="1" applyBorder="1"/>
    <xf numFmtId="173" fontId="16" fillId="0" borderId="0" xfId="40066" applyNumberFormat="1" applyFont="1" applyFill="1"/>
    <xf numFmtId="9" fontId="16" fillId="0" borderId="0" xfId="40066" applyFont="1" applyFill="1"/>
    <xf numFmtId="0" fontId="38" fillId="0" borderId="30" xfId="40064" applyFont="1" applyFill="1" applyBorder="1"/>
    <xf numFmtId="164" fontId="71" fillId="0" borderId="30" xfId="40065" applyNumberFormat="1" applyFont="1" applyFill="1" applyBorder="1"/>
    <xf numFmtId="164" fontId="38" fillId="0" borderId="0" xfId="40065" applyNumberFormat="1" applyFont="1" applyFill="1" applyBorder="1" applyAlignment="1">
      <alignment wrapText="1"/>
    </xf>
    <xf numFmtId="164" fontId="15" fillId="0" borderId="0" xfId="40065" applyNumberFormat="1" applyFont="1" applyFill="1" applyBorder="1"/>
    <xf numFmtId="0" fontId="16" fillId="0" borderId="0" xfId="40064" applyFont="1" applyFill="1" applyBorder="1" applyAlignment="1">
      <alignment vertical="center"/>
    </xf>
    <xf numFmtId="164" fontId="76" fillId="0" borderId="0" xfId="40065" applyNumberFormat="1" applyFont="1" applyFill="1" applyBorder="1"/>
    <xf numFmtId="39" fontId="71" fillId="0" borderId="0" xfId="40064" applyNumberFormat="1" applyFont="1" applyFill="1" applyBorder="1"/>
    <xf numFmtId="0" fontId="38" fillId="0" borderId="0" xfId="40065" quotePrefix="1" applyNumberFormat="1" applyFont="1" applyFill="1" applyBorder="1" applyAlignment="1">
      <alignment horizontal="center"/>
    </xf>
    <xf numFmtId="0" fontId="38" fillId="35" borderId="0" xfId="40065" quotePrefix="1" applyNumberFormat="1" applyFont="1" applyFill="1" applyBorder="1" applyAlignment="1">
      <alignment horizontal="center"/>
    </xf>
    <xf numFmtId="164" fontId="15" fillId="35" borderId="0" xfId="40065" applyNumberFormat="1" applyFont="1" applyFill="1" applyBorder="1"/>
    <xf numFmtId="164" fontId="16" fillId="35" borderId="0" xfId="40065" applyNumberFormat="1" applyFont="1" applyFill="1" applyBorder="1"/>
    <xf numFmtId="164" fontId="76" fillId="35" borderId="0" xfId="40065" applyNumberFormat="1" applyFont="1" applyFill="1" applyBorder="1"/>
    <xf numFmtId="164" fontId="16" fillId="35" borderId="30" xfId="40065" applyNumberFormat="1" applyFont="1" applyFill="1" applyBorder="1"/>
    <xf numFmtId="164" fontId="51" fillId="0" borderId="0" xfId="1" applyNumberFormat="1" applyFont="1" applyFill="1"/>
    <xf numFmtId="43" fontId="51" fillId="0" borderId="0" xfId="1" applyFont="1" applyFill="1"/>
    <xf numFmtId="0" fontId="51" fillId="0" borderId="0" xfId="20918" applyFont="1" applyFill="1"/>
    <xf numFmtId="164" fontId="15" fillId="0" borderId="0" xfId="1" applyNumberFormat="1" applyFont="1" applyFill="1"/>
    <xf numFmtId="43" fontId="15" fillId="0" borderId="0" xfId="1" applyFont="1" applyFill="1" applyBorder="1"/>
    <xf numFmtId="164" fontId="71" fillId="0" borderId="0" xfId="1" applyNumberFormat="1" applyFont="1" applyBorder="1"/>
    <xf numFmtId="164" fontId="16" fillId="0" borderId="0" xfId="1" applyNumberFormat="1" applyFont="1" applyFill="1" applyBorder="1"/>
    <xf numFmtId="43" fontId="16" fillId="0" borderId="0" xfId="1" applyFont="1" applyFill="1" applyBorder="1"/>
    <xf numFmtId="0" fontId="56" fillId="0" borderId="0" xfId="20918" applyFont="1" applyFill="1"/>
    <xf numFmtId="164" fontId="38" fillId="0" borderId="0" xfId="1" applyNumberFormat="1" applyFont="1" applyBorder="1"/>
    <xf numFmtId="43" fontId="71" fillId="0" borderId="0" xfId="1" applyFont="1" applyFill="1" applyBorder="1" applyAlignment="1">
      <alignment vertical="center"/>
    </xf>
    <xf numFmtId="164" fontId="71" fillId="0" borderId="0" xfId="40065" applyNumberFormat="1" applyFont="1" applyFill="1" applyBorder="1" applyAlignment="1">
      <alignment vertical="center"/>
    </xf>
    <xf numFmtId="164" fontId="71" fillId="35" borderId="21" xfId="40065" applyNumberFormat="1" applyFont="1" applyFill="1" applyBorder="1"/>
    <xf numFmtId="43" fontId="71" fillId="0" borderId="0" xfId="40065" applyNumberFormat="1" applyFont="1" applyFill="1" applyBorder="1" applyAlignment="1">
      <alignment vertical="center"/>
    </xf>
    <xf numFmtId="164" fontId="71" fillId="16" borderId="0" xfId="40064" applyNumberFormat="1" applyFont="1" applyFill="1"/>
    <xf numFmtId="0" fontId="78" fillId="0" borderId="0" xfId="0" applyFont="1"/>
    <xf numFmtId="164" fontId="77" fillId="0" borderId="0" xfId="1" applyNumberFormat="1" applyFont="1" applyAlignment="1">
      <alignment horizontal="center"/>
    </xf>
    <xf numFmtId="164" fontId="78" fillId="0" borderId="0" xfId="1" applyNumberFormat="1" applyFont="1"/>
    <xf numFmtId="164" fontId="78" fillId="0" borderId="0" xfId="0" applyNumberFormat="1" applyFont="1"/>
    <xf numFmtId="0" fontId="15" fillId="0" borderId="21" xfId="0" applyFont="1" applyBorder="1"/>
    <xf numFmtId="164" fontId="0" fillId="0" borderId="0" xfId="1" applyNumberFormat="1" applyFont="1"/>
    <xf numFmtId="0" fontId="78" fillId="0" borderId="0" xfId="20918" applyFont="1" applyFill="1"/>
    <xf numFmtId="43" fontId="0" fillId="0" borderId="0" xfId="1" applyFont="1"/>
    <xf numFmtId="39" fontId="77" fillId="0" borderId="0" xfId="20918" applyNumberFormat="1" applyFont="1" applyFill="1" applyBorder="1" applyAlignment="1">
      <alignment horizontal="left"/>
    </xf>
    <xf numFmtId="39" fontId="77" fillId="0" borderId="0" xfId="20918" applyNumberFormat="1" applyFont="1" applyFill="1" applyAlignment="1">
      <alignment horizontal="left"/>
    </xf>
    <xf numFmtId="39" fontId="78" fillId="0" borderId="0" xfId="20918" applyNumberFormat="1" applyFont="1" applyFill="1" applyAlignment="1">
      <alignment horizontal="left"/>
    </xf>
    <xf numFmtId="164" fontId="78" fillId="85" borderId="0" xfId="806" applyNumberFormat="1" applyFont="1" applyFill="1" applyBorder="1" applyAlignment="1"/>
    <xf numFmtId="0" fontId="78" fillId="0" borderId="0" xfId="20918" applyFont="1" applyFill="1" applyBorder="1"/>
    <xf numFmtId="0" fontId="78" fillId="85" borderId="0" xfId="20918" applyFont="1" applyFill="1"/>
    <xf numFmtId="0" fontId="77" fillId="85" borderId="0" xfId="20918" applyFont="1" applyFill="1" applyAlignment="1">
      <alignment horizontal="center"/>
    </xf>
    <xf numFmtId="0" fontId="77" fillId="85" borderId="0" xfId="20918" applyFont="1" applyFill="1" applyBorder="1" applyAlignment="1">
      <alignment horizontal="center"/>
    </xf>
    <xf numFmtId="0" fontId="77" fillId="89" borderId="0" xfId="20918" applyFont="1" applyFill="1"/>
    <xf numFmtId="164" fontId="78" fillId="0" borderId="0" xfId="948" applyNumberFormat="1" applyFont="1" applyFill="1"/>
    <xf numFmtId="164" fontId="78" fillId="0" borderId="21" xfId="948" applyNumberFormat="1" applyFont="1" applyFill="1" applyBorder="1"/>
    <xf numFmtId="164" fontId="78" fillId="0" borderId="0" xfId="948" applyNumberFormat="1" applyFont="1" applyFill="1" applyBorder="1"/>
    <xf numFmtId="164" fontId="78" fillId="85" borderId="0" xfId="948" applyNumberFormat="1" applyFont="1" applyFill="1" applyBorder="1"/>
    <xf numFmtId="164" fontId="78" fillId="0" borderId="0" xfId="20918" applyNumberFormat="1" applyFont="1" applyFill="1" applyBorder="1"/>
    <xf numFmtId="164" fontId="78" fillId="85" borderId="0" xfId="20918" applyNumberFormat="1" applyFont="1" applyFill="1" applyBorder="1"/>
    <xf numFmtId="43" fontId="77" fillId="0" borderId="0" xfId="948" applyNumberFormat="1" applyFont="1" applyFill="1"/>
    <xf numFmtId="43" fontId="77" fillId="0" borderId="0" xfId="948" applyNumberFormat="1" applyFont="1" applyFill="1" applyBorder="1"/>
    <xf numFmtId="43" fontId="77" fillId="85" borderId="0" xfId="948" applyNumberFormat="1" applyFont="1" applyFill="1" applyBorder="1"/>
    <xf numFmtId="164" fontId="79" fillId="0" borderId="0" xfId="948" applyNumberFormat="1" applyFont="1" applyFill="1"/>
    <xf numFmtId="164" fontId="78" fillId="0" borderId="24" xfId="948" applyNumberFormat="1" applyFont="1" applyFill="1" applyBorder="1"/>
    <xf numFmtId="164" fontId="78" fillId="85" borderId="0" xfId="948" applyNumberFormat="1" applyFont="1" applyFill="1"/>
    <xf numFmtId="0" fontId="78" fillId="85" borderId="0" xfId="20918" applyFont="1" applyFill="1" applyBorder="1"/>
    <xf numFmtId="164" fontId="78" fillId="0" borderId="21" xfId="20918" applyNumberFormat="1" applyFont="1" applyFill="1" applyBorder="1"/>
    <xf numFmtId="164" fontId="78" fillId="0" borderId="0" xfId="20918" applyNumberFormat="1" applyFont="1" applyFill="1"/>
    <xf numFmtId="10" fontId="77" fillId="0" borderId="0" xfId="14454" applyNumberFormat="1" applyFont="1" applyFill="1"/>
    <xf numFmtId="10" fontId="78" fillId="0" borderId="0" xfId="14454" applyNumberFormat="1" applyFont="1" applyFill="1"/>
    <xf numFmtId="10" fontId="77" fillId="0" borderId="0" xfId="14454" applyNumberFormat="1" applyFont="1" applyFill="1" applyBorder="1"/>
    <xf numFmtId="10" fontId="77" fillId="85" borderId="0" xfId="14454" applyNumberFormat="1" applyFont="1" applyFill="1" applyBorder="1"/>
    <xf numFmtId="10" fontId="78" fillId="0" borderId="0" xfId="14454" applyNumberFormat="1" applyFont="1" applyFill="1" applyBorder="1"/>
    <xf numFmtId="10" fontId="78" fillId="85" borderId="0" xfId="14454" applyNumberFormat="1" applyFont="1" applyFill="1" applyBorder="1"/>
    <xf numFmtId="164" fontId="78" fillId="88" borderId="0" xfId="948" applyNumberFormat="1" applyFont="1" applyFill="1" applyBorder="1"/>
    <xf numFmtId="164" fontId="78" fillId="0" borderId="24" xfId="20918" applyNumberFormat="1" applyFont="1" applyFill="1" applyBorder="1"/>
    <xf numFmtId="164" fontId="78" fillId="88" borderId="0" xfId="948" applyNumberFormat="1" applyFont="1" applyFill="1"/>
    <xf numFmtId="0" fontId="77" fillId="0" borderId="0" xfId="20918" applyFont="1" applyFill="1"/>
    <xf numFmtId="164" fontId="78" fillId="0" borderId="0" xfId="1" applyNumberFormat="1" applyFont="1" applyFill="1"/>
    <xf numFmtId="164" fontId="78" fillId="0" borderId="21" xfId="1" applyNumberFormat="1" applyFont="1" applyFill="1" applyBorder="1"/>
    <xf numFmtId="164" fontId="78" fillId="0" borderId="24" xfId="1" applyNumberFormat="1" applyFont="1" applyFill="1" applyBorder="1"/>
    <xf numFmtId="43" fontId="77" fillId="0" borderId="0" xfId="1" applyFont="1" applyFill="1"/>
    <xf numFmtId="164" fontId="78" fillId="85" borderId="0" xfId="1" applyNumberFormat="1" applyFont="1" applyFill="1"/>
    <xf numFmtId="164" fontId="78" fillId="0" borderId="0" xfId="1" applyNumberFormat="1" applyFont="1" applyFill="1" applyBorder="1"/>
    <xf numFmtId="164" fontId="78" fillId="85" borderId="0" xfId="1" applyNumberFormat="1" applyFont="1" applyFill="1" applyBorder="1"/>
    <xf numFmtId="0" fontId="17" fillId="0" borderId="0" xfId="0" applyFont="1"/>
    <xf numFmtId="43" fontId="71" fillId="0" borderId="0" xfId="1" applyFont="1"/>
    <xf numFmtId="43" fontId="71" fillId="0" borderId="0" xfId="40064" applyNumberFormat="1" applyFont="1"/>
    <xf numFmtId="0" fontId="42" fillId="0" borderId="0" xfId="0" applyFont="1"/>
    <xf numFmtId="39" fontId="78" fillId="0" borderId="0" xfId="3329" applyFont="1" applyFill="1" applyAlignment="1" applyProtection="1">
      <alignment horizontal="left"/>
    </xf>
    <xf numFmtId="0" fontId="80" fillId="0" borderId="0" xfId="40064" applyFont="1" applyFill="1"/>
    <xf numFmtId="164" fontId="38" fillId="0" borderId="0" xfId="40064" applyNumberFormat="1" applyFont="1" applyAlignment="1">
      <alignment vertical="center"/>
    </xf>
    <xf numFmtId="0" fontId="83" fillId="0" borderId="0" xfId="14457" applyFont="1"/>
    <xf numFmtId="164" fontId="83" fillId="0" borderId="0" xfId="14458" applyNumberFormat="1" applyFont="1"/>
    <xf numFmtId="43" fontId="0" fillId="0" borderId="42" xfId="0" applyNumberFormat="1" applyBorder="1"/>
    <xf numFmtId="164" fontId="0" fillId="0" borderId="42" xfId="1" applyNumberFormat="1" applyFont="1" applyBorder="1"/>
    <xf numFmtId="164" fontId="16" fillId="0" borderId="0" xfId="40083" applyNumberFormat="1" applyFont="1" applyFill="1" applyBorder="1"/>
    <xf numFmtId="164" fontId="15" fillId="0" borderId="0" xfId="40083" applyNumberFormat="1" applyFont="1" applyFill="1" applyBorder="1"/>
    <xf numFmtId="164" fontId="15" fillId="0" borderId="0" xfId="40083" applyNumberFormat="1" applyFont="1" applyFill="1"/>
    <xf numFmtId="164" fontId="16" fillId="0" borderId="0" xfId="40083" applyNumberFormat="1" applyFont="1" applyFill="1" applyBorder="1" applyAlignment="1">
      <alignment horizontal="center"/>
    </xf>
    <xf numFmtId="0" fontId="16" fillId="35" borderId="0" xfId="40083" applyNumberFormat="1" applyFont="1" applyFill="1" applyBorder="1" applyAlignment="1">
      <alignment horizontal="center"/>
    </xf>
    <xf numFmtId="0" fontId="16" fillId="0" borderId="0" xfId="40083" applyNumberFormat="1" applyFont="1" applyFill="1" applyBorder="1" applyAlignment="1">
      <alignment horizontal="center"/>
    </xf>
    <xf numFmtId="164" fontId="16" fillId="0" borderId="21" xfId="40083" applyNumberFormat="1" applyFont="1" applyFill="1" applyBorder="1"/>
    <xf numFmtId="164" fontId="16" fillId="35" borderId="21" xfId="40083" applyNumberFormat="1" applyFont="1" applyFill="1" applyBorder="1" applyAlignment="1">
      <alignment horizontal="center"/>
    </xf>
    <xf numFmtId="164" fontId="16" fillId="0" borderId="21" xfId="40083" applyNumberFormat="1" applyFont="1" applyFill="1" applyBorder="1" applyAlignment="1">
      <alignment horizontal="center"/>
    </xf>
    <xf numFmtId="164" fontId="16" fillId="35" borderId="0" xfId="40083" applyNumberFormat="1" applyFont="1" applyFill="1" applyBorder="1" applyAlignment="1">
      <alignment horizontal="center"/>
    </xf>
    <xf numFmtId="164" fontId="15" fillId="35" borderId="0" xfId="40084" applyNumberFormat="1" applyFont="1" applyFill="1" applyBorder="1" applyAlignment="1">
      <alignment horizontal="right"/>
    </xf>
    <xf numFmtId="164" fontId="15" fillId="0" borderId="0" xfId="40084" applyNumberFormat="1" applyFont="1" applyFill="1" applyBorder="1" applyAlignment="1">
      <alignment horizontal="right"/>
    </xf>
    <xf numFmtId="164" fontId="15" fillId="35" borderId="21" xfId="40084" applyNumberFormat="1" applyFont="1" applyFill="1" applyBorder="1" applyAlignment="1">
      <alignment horizontal="right"/>
    </xf>
    <xf numFmtId="164" fontId="15" fillId="0" borderId="21" xfId="40084" applyNumberFormat="1" applyFont="1" applyFill="1" applyBorder="1" applyAlignment="1">
      <alignment horizontal="right"/>
    </xf>
    <xf numFmtId="164" fontId="16" fillId="35" borderId="0" xfId="40084" applyNumberFormat="1" applyFont="1" applyFill="1" applyBorder="1" applyAlignment="1">
      <alignment horizontal="right"/>
    </xf>
    <xf numFmtId="164" fontId="16" fillId="0" borderId="0" xfId="40084" applyNumberFormat="1" applyFont="1" applyFill="1" applyBorder="1" applyAlignment="1">
      <alignment horizontal="right"/>
    </xf>
    <xf numFmtId="164" fontId="16" fillId="35" borderId="30" xfId="40084" applyNumberFormat="1" applyFont="1" applyFill="1" applyBorder="1" applyAlignment="1">
      <alignment horizontal="right"/>
    </xf>
    <xf numFmtId="164" fontId="16" fillId="0" borderId="30" xfId="40084" applyNumberFormat="1" applyFont="1" applyFill="1" applyBorder="1" applyAlignment="1">
      <alignment horizontal="right"/>
    </xf>
    <xf numFmtId="164" fontId="15" fillId="35" borderId="0" xfId="40084" applyNumberFormat="1" applyFont="1" applyFill="1" applyBorder="1"/>
    <xf numFmtId="164" fontId="15" fillId="0" borderId="0" xfId="40084" applyNumberFormat="1" applyFont="1" applyFill="1" applyBorder="1"/>
    <xf numFmtId="164" fontId="16" fillId="0" borderId="0" xfId="40084" applyNumberFormat="1" applyFont="1" applyFill="1" applyBorder="1"/>
    <xf numFmtId="164" fontId="16" fillId="0" borderId="0" xfId="40083" applyNumberFormat="1" applyFont="1" applyFill="1"/>
    <xf numFmtId="0" fontId="71" fillId="0" borderId="0" xfId="40091" applyFont="1" applyFill="1"/>
    <xf numFmtId="164" fontId="71" fillId="0" borderId="0" xfId="40092" applyNumberFormat="1" applyFont="1" applyFill="1"/>
    <xf numFmtId="164" fontId="71" fillId="0" borderId="0" xfId="40092" applyNumberFormat="1" applyFont="1" applyFill="1" applyBorder="1"/>
    <xf numFmtId="164" fontId="71" fillId="0" borderId="30" xfId="40092" applyNumberFormat="1" applyFont="1" applyFill="1" applyBorder="1"/>
    <xf numFmtId="164" fontId="38" fillId="0" borderId="30" xfId="40065" applyNumberFormat="1" applyFont="1" applyBorder="1"/>
    <xf numFmtId="0" fontId="38" fillId="0" borderId="29" xfId="14457" applyFont="1" applyFill="1" applyBorder="1" applyAlignment="1">
      <alignment horizontal="center" wrapText="1"/>
    </xf>
    <xf numFmtId="43" fontId="38" fillId="0" borderId="0" xfId="1" applyFont="1"/>
    <xf numFmtId="164" fontId="71" fillId="0" borderId="0" xfId="1" applyNumberFormat="1" applyFont="1"/>
    <xf numFmtId="164" fontId="38" fillId="0" borderId="0" xfId="1" applyNumberFormat="1" applyFont="1"/>
    <xf numFmtId="164" fontId="71" fillId="0" borderId="0" xfId="1" applyNumberFormat="1" applyFont="1" applyFill="1"/>
    <xf numFmtId="164" fontId="72" fillId="0" borderId="0" xfId="1" applyNumberFormat="1" applyFont="1"/>
    <xf numFmtId="0" fontId="83" fillId="0" borderId="0" xfId="14457" applyFont="1" applyBorder="1"/>
    <xf numFmtId="9" fontId="71" fillId="0" borderId="0" xfId="40082" applyFont="1"/>
    <xf numFmtId="164" fontId="17" fillId="0" borderId="0" xfId="1" applyNumberFormat="1" applyFont="1"/>
    <xf numFmtId="164" fontId="0" fillId="0" borderId="0" xfId="0" applyNumberFormat="1"/>
    <xf numFmtId="0" fontId="38" fillId="15" borderId="0" xfId="40064" applyFont="1" applyFill="1" applyAlignment="1">
      <alignment horizontal="center"/>
    </xf>
    <xf numFmtId="0" fontId="15" fillId="0" borderId="0" xfId="2190" applyFont="1"/>
    <xf numFmtId="164" fontId="38" fillId="0" borderId="29" xfId="40065" quotePrefix="1" applyNumberFormat="1" applyFont="1" applyFill="1" applyBorder="1" applyAlignment="1">
      <alignment horizontal="center"/>
    </xf>
    <xf numFmtId="0" fontId="38" fillId="0" borderId="0" xfId="40064" applyFont="1" applyFill="1" applyBorder="1" applyAlignment="1">
      <alignment horizontal="center" wrapText="1"/>
    </xf>
    <xf numFmtId="0" fontId="15" fillId="0" borderId="0" xfId="2190" applyFont="1" applyAlignment="1">
      <alignment wrapText="1"/>
    </xf>
    <xf numFmtId="0" fontId="15" fillId="0" borderId="45" xfId="0" applyFont="1" applyBorder="1"/>
    <xf numFmtId="0" fontId="15" fillId="0" borderId="25" xfId="0" applyFont="1" applyBorder="1"/>
    <xf numFmtId="39" fontId="15" fillId="0" borderId="46" xfId="0" applyNumberFormat="1" applyFont="1" applyFill="1" applyBorder="1" applyAlignment="1">
      <alignment horizontal="left"/>
    </xf>
    <xf numFmtId="164" fontId="15" fillId="0" borderId="47" xfId="1" applyNumberFormat="1" applyFont="1" applyBorder="1"/>
    <xf numFmtId="0" fontId="15" fillId="0" borderId="50" xfId="0" applyFont="1" applyBorder="1"/>
    <xf numFmtId="0" fontId="15" fillId="0" borderId="47" xfId="0" applyFont="1" applyBorder="1"/>
    <xf numFmtId="0" fontId="15" fillId="0" borderId="46" xfId="0" applyFont="1" applyBorder="1"/>
    <xf numFmtId="0" fontId="16" fillId="0" borderId="47" xfId="0" applyFont="1" applyBorder="1" applyAlignment="1">
      <alignment horizontal="right"/>
    </xf>
    <xf numFmtId="0" fontId="16" fillId="0" borderId="27" xfId="0" applyFont="1" applyBorder="1" applyAlignment="1">
      <alignment horizontal="right"/>
    </xf>
    <xf numFmtId="164" fontId="15" fillId="0" borderId="44" xfId="1" applyNumberFormat="1" applyFont="1" applyBorder="1"/>
    <xf numFmtId="39" fontId="15" fillId="0" borderId="45" xfId="0" applyNumberFormat="1" applyFont="1" applyFill="1" applyBorder="1" applyAlignment="1">
      <alignment horizontal="left"/>
    </xf>
    <xf numFmtId="164" fontId="15" fillId="0" borderId="43" xfId="1" applyNumberFormat="1" applyFont="1" applyBorder="1"/>
    <xf numFmtId="164" fontId="15" fillId="0" borderId="50" xfId="1" applyNumberFormat="1" applyFont="1" applyBorder="1"/>
    <xf numFmtId="0" fontId="16" fillId="0" borderId="46" xfId="0" applyFont="1" applyBorder="1"/>
    <xf numFmtId="0" fontId="16" fillId="0" borderId="21" xfId="0" applyFont="1" applyBorder="1"/>
    <xf numFmtId="0" fontId="16" fillId="0" borderId="47" xfId="0" applyFont="1" applyBorder="1"/>
    <xf numFmtId="164" fontId="16" fillId="0" borderId="44" xfId="0" applyNumberFormat="1" applyFont="1" applyBorder="1"/>
    <xf numFmtId="164" fontId="16" fillId="0" borderId="47" xfId="0" applyNumberFormat="1" applyFont="1" applyBorder="1"/>
    <xf numFmtId="0" fontId="38" fillId="15" borderId="0" xfId="40064" applyFont="1" applyFill="1" applyAlignment="1">
      <alignment horizontal="center"/>
    </xf>
    <xf numFmtId="0" fontId="15" fillId="0" borderId="0" xfId="2190" applyFont="1" applyAlignment="1">
      <alignment horizontal="justify" vertical="top" wrapText="1"/>
    </xf>
    <xf numFmtId="0" fontId="15" fillId="0" borderId="0" xfId="2190" applyFont="1"/>
    <xf numFmtId="164" fontId="38" fillId="0" borderId="29" xfId="40065" quotePrefix="1" applyNumberFormat="1" applyFont="1" applyFill="1" applyBorder="1" applyAlignment="1">
      <alignment horizontal="center"/>
    </xf>
    <xf numFmtId="0" fontId="38" fillId="0" borderId="0" xfId="40064" applyFont="1" applyFill="1" applyBorder="1" applyAlignment="1">
      <alignment horizontal="center" wrapText="1"/>
    </xf>
    <xf numFmtId="164" fontId="38" fillId="0" borderId="0" xfId="1" quotePrefix="1" applyNumberFormat="1" applyFont="1" applyAlignment="1">
      <alignment horizontal="center"/>
    </xf>
    <xf numFmtId="0" fontId="38" fillId="0" borderId="0" xfId="14457" applyFont="1" applyFill="1" applyAlignment="1">
      <alignment horizontal="center"/>
    </xf>
    <xf numFmtId="0" fontId="38" fillId="0" borderId="0" xfId="14457" applyFont="1" applyFill="1" applyBorder="1"/>
    <xf numFmtId="43" fontId="71" fillId="0" borderId="0" xfId="14457" applyNumberFormat="1" applyFont="1" applyFill="1" applyBorder="1"/>
    <xf numFmtId="43" fontId="38" fillId="0" borderId="0" xfId="1" applyFont="1" applyFill="1" applyBorder="1"/>
    <xf numFmtId="0" fontId="72" fillId="0" borderId="0" xfId="14457" applyFont="1" applyFill="1"/>
    <xf numFmtId="164" fontId="71" fillId="0" borderId="21" xfId="1" applyNumberFormat="1" applyFont="1" applyBorder="1"/>
    <xf numFmtId="164" fontId="38" fillId="0" borderId="42" xfId="1" applyNumberFormat="1" applyFont="1" applyBorder="1"/>
    <xf numFmtId="164" fontId="38" fillId="36" borderId="0" xfId="14458" applyNumberFormat="1" applyFont="1" applyFill="1" applyBorder="1"/>
    <xf numFmtId="164" fontId="71" fillId="0" borderId="0" xfId="14457" applyNumberFormat="1" applyFont="1" applyFill="1" applyBorder="1"/>
    <xf numFmtId="9" fontId="71" fillId="0" borderId="0" xfId="14459" applyFont="1" applyFill="1" applyBorder="1"/>
    <xf numFmtId="0" fontId="72" fillId="0" borderId="0" xfId="14457" applyFont="1" applyFill="1" applyBorder="1"/>
    <xf numFmtId="164" fontId="72" fillId="0" borderId="0" xfId="14457" applyNumberFormat="1" applyFont="1" applyFill="1" applyBorder="1"/>
    <xf numFmtId="0" fontId="38" fillId="0" borderId="0" xfId="14457" applyFont="1" applyFill="1" applyBorder="1" applyAlignment="1">
      <alignment horizontal="center"/>
    </xf>
    <xf numFmtId="164" fontId="73" fillId="0" borderId="0" xfId="14458" applyNumberFormat="1" applyFont="1" applyFill="1" applyBorder="1"/>
    <xf numFmtId="10" fontId="71" fillId="0" borderId="0" xfId="14454" applyNumberFormat="1" applyFont="1" applyBorder="1"/>
    <xf numFmtId="10" fontId="71" fillId="0" borderId="0" xfId="14454" applyNumberFormat="1" applyFont="1" applyFill="1" applyBorder="1"/>
    <xf numFmtId="10" fontId="71" fillId="0" borderId="0" xfId="14454" applyNumberFormat="1" applyFont="1" applyFill="1"/>
    <xf numFmtId="164" fontId="38" fillId="0" borderId="0" xfId="1" applyNumberFormat="1" applyFont="1" applyAlignment="1">
      <alignment horizontal="center"/>
    </xf>
    <xf numFmtId="164" fontId="38" fillId="0" borderId="29" xfId="14458" applyNumberFormat="1" applyFont="1" applyBorder="1"/>
    <xf numFmtId="164" fontId="38" fillId="35" borderId="21" xfId="14458" applyNumberFormat="1" applyFont="1" applyFill="1" applyBorder="1"/>
    <xf numFmtId="0" fontId="71" fillId="0" borderId="0" xfId="40065" applyNumberFormat="1" applyFont="1" applyFill="1" applyBorder="1"/>
    <xf numFmtId="0" fontId="15" fillId="0" borderId="0" xfId="2190" applyFont="1" applyFill="1"/>
    <xf numFmtId="0" fontId="0" fillId="0" borderId="0" xfId="0" applyFill="1" applyAlignment="1"/>
    <xf numFmtId="0" fontId="15" fillId="0" borderId="0" xfId="2190" applyFont="1" applyFill="1" applyAlignment="1"/>
    <xf numFmtId="0" fontId="71" fillId="0" borderId="0" xfId="40064" applyFont="1" applyAlignment="1">
      <alignment horizontal="center"/>
    </xf>
    <xf numFmtId="164" fontId="71" fillId="87" borderId="0" xfId="40065" applyNumberFormat="1" applyFont="1" applyFill="1" applyBorder="1"/>
    <xf numFmtId="164" fontId="71" fillId="87" borderId="21" xfId="40065" applyNumberFormat="1" applyFont="1" applyFill="1" applyBorder="1"/>
    <xf numFmtId="0" fontId="72" fillId="0" borderId="0" xfId="40064" applyFont="1"/>
    <xf numFmtId="164" fontId="72" fillId="0" borderId="0" xfId="40065" applyNumberFormat="1" applyFont="1"/>
    <xf numFmtId="164" fontId="72" fillId="0" borderId="0" xfId="40065" applyNumberFormat="1" applyFont="1" applyFill="1"/>
    <xf numFmtId="10" fontId="71" fillId="0" borderId="0" xfId="40082" applyNumberFormat="1" applyFont="1" applyFill="1" applyBorder="1"/>
    <xf numFmtId="10" fontId="38" fillId="0" borderId="0" xfId="40082" applyNumberFormat="1" applyFont="1" applyFill="1" applyBorder="1"/>
    <xf numFmtId="0" fontId="71" fillId="0" borderId="0" xfId="14458" applyNumberFormat="1" applyFont="1" applyFill="1" applyBorder="1"/>
    <xf numFmtId="164" fontId="38" fillId="0" borderId="0" xfId="40065" applyNumberFormat="1" applyFont="1" applyBorder="1" applyAlignment="1">
      <alignment horizontal="center" vertical="center" wrapText="1"/>
    </xf>
    <xf numFmtId="164" fontId="38" fillId="0" borderId="29" xfId="40065" applyNumberFormat="1" applyFont="1" applyBorder="1" applyAlignment="1">
      <alignment horizontal="center" vertical="center" wrapText="1"/>
    </xf>
    <xf numFmtId="0" fontId="15" fillId="0" borderId="0" xfId="2190" applyFont="1"/>
    <xf numFmtId="164" fontId="38" fillId="0" borderId="29" xfId="40065" quotePrefix="1" applyNumberFormat="1" applyFont="1" applyFill="1" applyBorder="1" applyAlignment="1">
      <alignment horizontal="center"/>
    </xf>
    <xf numFmtId="0" fontId="38" fillId="15" borderId="0" xfId="40094" applyFont="1" applyFill="1" applyAlignment="1">
      <alignment horizontal="center"/>
    </xf>
    <xf numFmtId="0" fontId="71" fillId="0" borderId="0" xfId="40094" applyFont="1"/>
    <xf numFmtId="0" fontId="71" fillId="0" borderId="0" xfId="40094" applyFont="1" applyFill="1" applyBorder="1"/>
    <xf numFmtId="0" fontId="71" fillId="0" borderId="0" xfId="40094" applyFont="1" applyFill="1" applyBorder="1" applyAlignment="1">
      <alignment horizontal="center"/>
    </xf>
    <xf numFmtId="164" fontId="71" fillId="0" borderId="0" xfId="40095" applyNumberFormat="1" applyFont="1" applyFill="1" applyBorder="1"/>
    <xf numFmtId="164" fontId="71" fillId="16" borderId="0" xfId="40095" applyNumberFormat="1" applyFont="1" applyFill="1" applyBorder="1"/>
    <xf numFmtId="164" fontId="71" fillId="0" borderId="0" xfId="40094" applyNumberFormat="1" applyFont="1" applyFill="1" applyBorder="1"/>
    <xf numFmtId="164" fontId="71" fillId="16" borderId="0" xfId="40094" applyNumberFormat="1" applyFont="1" applyFill="1" applyBorder="1"/>
    <xf numFmtId="164" fontId="71" fillId="0" borderId="0" xfId="40094" applyNumberFormat="1" applyFont="1" applyFill="1"/>
    <xf numFmtId="0" fontId="38" fillId="0" borderId="0" xfId="40094" applyFont="1" applyFill="1" applyBorder="1"/>
    <xf numFmtId="164" fontId="38" fillId="0" borderId="0" xfId="40095" quotePrefix="1" applyNumberFormat="1" applyFont="1" applyFill="1" applyBorder="1" applyAlignment="1">
      <alignment horizontal="center"/>
    </xf>
    <xf numFmtId="164" fontId="38" fillId="35" borderId="0" xfId="40095" quotePrefix="1" applyNumberFormat="1" applyFont="1" applyFill="1" applyBorder="1" applyAlignment="1">
      <alignment horizontal="center"/>
    </xf>
    <xf numFmtId="164" fontId="38" fillId="16" borderId="0" xfId="40095" quotePrefix="1" applyNumberFormat="1" applyFont="1" applyFill="1" applyBorder="1" applyAlignment="1">
      <alignment horizontal="center"/>
    </xf>
    <xf numFmtId="0" fontId="38" fillId="0" borderId="0" xfId="40094" applyFont="1" applyFill="1" applyBorder="1" applyAlignment="1">
      <alignment horizontal="center" wrapText="1"/>
    </xf>
    <xf numFmtId="0" fontId="38" fillId="0" borderId="29" xfId="40094" applyFont="1" applyFill="1" applyBorder="1"/>
    <xf numFmtId="0" fontId="38" fillId="0" borderId="29" xfId="40094" applyFont="1" applyFill="1" applyBorder="1" applyAlignment="1">
      <alignment horizontal="center" wrapText="1"/>
    </xf>
    <xf numFmtId="164" fontId="38" fillId="35" borderId="29" xfId="40095" quotePrefix="1" applyNumberFormat="1" applyFont="1" applyFill="1" applyBorder="1" applyAlignment="1">
      <alignment horizontal="center"/>
    </xf>
    <xf numFmtId="164" fontId="38" fillId="0" borderId="29" xfId="40095" quotePrefix="1" applyNumberFormat="1" applyFont="1" applyFill="1" applyBorder="1" applyAlignment="1">
      <alignment horizontal="center"/>
    </xf>
    <xf numFmtId="164" fontId="38" fillId="16" borderId="29" xfId="40095" quotePrefix="1" applyNumberFormat="1" applyFont="1" applyFill="1" applyBorder="1" applyAlignment="1">
      <alignment horizontal="center"/>
    </xf>
    <xf numFmtId="9" fontId="71" fillId="0" borderId="0" xfId="40090" applyFont="1"/>
    <xf numFmtId="164" fontId="71" fillId="35" borderId="0" xfId="40095" applyNumberFormat="1" applyFont="1" applyFill="1" applyBorder="1"/>
    <xf numFmtId="164" fontId="71" fillId="16" borderId="0" xfId="40094" applyNumberFormat="1" applyFont="1" applyFill="1"/>
    <xf numFmtId="0" fontId="71" fillId="16" borderId="0" xfId="40094" applyFont="1" applyFill="1"/>
    <xf numFmtId="43" fontId="71" fillId="0" borderId="0" xfId="40094" applyNumberFormat="1" applyFont="1"/>
    <xf numFmtId="164" fontId="71" fillId="0" borderId="0" xfId="40095" applyNumberFormat="1" applyFont="1" applyFill="1"/>
    <xf numFmtId="164" fontId="72" fillId="0" borderId="0" xfId="40095" applyNumberFormat="1" applyFont="1" applyFill="1" applyBorder="1"/>
    <xf numFmtId="0" fontId="71" fillId="0" borderId="0" xfId="40094" applyFont="1" applyFill="1"/>
    <xf numFmtId="0" fontId="71" fillId="84" borderId="0" xfId="40094" applyFont="1" applyFill="1"/>
    <xf numFmtId="0" fontId="38" fillId="0" borderId="0" xfId="40094" applyFont="1" applyFill="1" applyBorder="1" applyAlignment="1">
      <alignment horizontal="center"/>
    </xf>
    <xf numFmtId="164" fontId="38" fillId="35" borderId="42" xfId="40095" applyNumberFormat="1" applyFont="1" applyFill="1" applyBorder="1"/>
    <xf numFmtId="164" fontId="38" fillId="0" borderId="0" xfId="40095" applyNumberFormat="1" applyFont="1" applyFill="1" applyBorder="1"/>
    <xf numFmtId="164" fontId="38" fillId="0" borderId="42" xfId="40095" applyNumberFormat="1" applyFont="1" applyFill="1" applyBorder="1"/>
    <xf numFmtId="164" fontId="38" fillId="16" borderId="0" xfId="40095" applyNumberFormat="1" applyFont="1" applyFill="1" applyBorder="1"/>
    <xf numFmtId="0" fontId="38" fillId="0" borderId="0" xfId="40094" applyFont="1"/>
    <xf numFmtId="164" fontId="38" fillId="35" borderId="0" xfId="40095" applyNumberFormat="1" applyFont="1" applyFill="1" applyBorder="1"/>
    <xf numFmtId="0" fontId="15" fillId="0" borderId="0" xfId="40094" applyFont="1" applyFill="1" applyBorder="1"/>
    <xf numFmtId="43" fontId="71" fillId="0" borderId="0" xfId="40094" applyNumberFormat="1" applyFont="1" applyFill="1"/>
    <xf numFmtId="164" fontId="38" fillId="35" borderId="24" xfId="40095" applyNumberFormat="1" applyFont="1" applyFill="1" applyBorder="1"/>
    <xf numFmtId="164" fontId="38" fillId="0" borderId="24" xfId="40095" applyNumberFormat="1" applyFont="1" applyFill="1" applyBorder="1"/>
    <xf numFmtId="164" fontId="71" fillId="0" borderId="0" xfId="40094" applyNumberFormat="1" applyFont="1"/>
    <xf numFmtId="164" fontId="71" fillId="35" borderId="21" xfId="40095" applyNumberFormat="1" applyFont="1" applyFill="1" applyBorder="1"/>
    <xf numFmtId="164" fontId="71" fillId="0" borderId="21" xfId="40095" applyNumberFormat="1" applyFont="1" applyFill="1" applyBorder="1"/>
    <xf numFmtId="0" fontId="38" fillId="0" borderId="0" xfId="40094" applyFont="1" applyFill="1" applyBorder="1" applyAlignment="1">
      <alignment vertical="center" wrapText="1"/>
    </xf>
    <xf numFmtId="0" fontId="38" fillId="0" borderId="0" xfId="40094" applyFont="1" applyFill="1" applyBorder="1" applyAlignment="1">
      <alignment horizontal="center" vertical="center"/>
    </xf>
    <xf numFmtId="164" fontId="38" fillId="35" borderId="0" xfId="40095" applyNumberFormat="1" applyFont="1" applyFill="1" applyBorder="1" applyAlignment="1">
      <alignment vertical="center"/>
    </xf>
    <xf numFmtId="164" fontId="38" fillId="0" borderId="0" xfId="40095" applyNumberFormat="1" applyFont="1" applyFill="1" applyBorder="1" applyAlignment="1">
      <alignment vertical="center"/>
    </xf>
    <xf numFmtId="0" fontId="38" fillId="0" borderId="0" xfId="40094" applyFont="1" applyAlignment="1">
      <alignment vertical="center"/>
    </xf>
    <xf numFmtId="164" fontId="38" fillId="16" borderId="0" xfId="40095" applyNumberFormat="1" applyFont="1" applyFill="1" applyBorder="1" applyAlignment="1">
      <alignment vertical="center"/>
    </xf>
    <xf numFmtId="0" fontId="71" fillId="0" borderId="0" xfId="40094" applyFont="1" applyFill="1" applyAlignment="1">
      <alignment horizontal="center"/>
    </xf>
    <xf numFmtId="164" fontId="71" fillId="16" borderId="0" xfId="40095" applyNumberFormat="1" applyFont="1" applyFill="1"/>
    <xf numFmtId="43" fontId="71" fillId="16" borderId="0" xfId="1" applyFont="1" applyFill="1"/>
    <xf numFmtId="43" fontId="72" fillId="16" borderId="0" xfId="1" applyFont="1" applyFill="1"/>
    <xf numFmtId="43" fontId="73" fillId="0" borderId="0" xfId="40095" applyFont="1" applyFill="1" applyBorder="1"/>
    <xf numFmtId="43" fontId="73" fillId="16" borderId="0" xfId="40095" applyFont="1" applyFill="1" applyBorder="1"/>
    <xf numFmtId="43" fontId="71" fillId="16" borderId="0" xfId="40094" applyNumberFormat="1" applyFont="1" applyFill="1"/>
    <xf numFmtId="43" fontId="71" fillId="0" borderId="0" xfId="40095" applyFont="1" applyFill="1"/>
    <xf numFmtId="43" fontId="71" fillId="16" borderId="0" xfId="40095" applyFont="1" applyFill="1"/>
    <xf numFmtId="164" fontId="83" fillId="0" borderId="0" xfId="14458" applyNumberFormat="1" applyFont="1" applyFill="1"/>
    <xf numFmtId="164" fontId="38" fillId="0" borderId="0" xfId="40065" applyNumberFormat="1" applyFont="1" applyBorder="1" applyAlignment="1">
      <alignment horizontal="center" vertical="center" wrapText="1"/>
    </xf>
    <xf numFmtId="164" fontId="38" fillId="0" borderId="29" xfId="40065" applyNumberFormat="1" applyFont="1" applyBorder="1" applyAlignment="1">
      <alignment horizontal="center" vertical="center" wrapText="1"/>
    </xf>
    <xf numFmtId="43" fontId="72" fillId="0" borderId="0" xfId="1" applyFont="1"/>
    <xf numFmtId="164" fontId="38" fillId="35" borderId="0" xfId="1" applyNumberFormat="1" applyFont="1" applyFill="1" applyBorder="1"/>
    <xf numFmtId="43" fontId="71" fillId="0" borderId="0" xfId="1" applyFont="1" applyAlignment="1">
      <alignment vertical="center"/>
    </xf>
    <xf numFmtId="164" fontId="71" fillId="0" borderId="0" xfId="1" applyNumberFormat="1" applyFont="1" applyAlignment="1">
      <alignment vertical="center"/>
    </xf>
    <xf numFmtId="164" fontId="71" fillId="0" borderId="25" xfId="1" applyNumberFormat="1" applyFont="1" applyBorder="1"/>
    <xf numFmtId="164" fontId="16" fillId="35" borderId="0" xfId="14458" applyNumberFormat="1" applyFont="1" applyFill="1" applyBorder="1"/>
    <xf numFmtId="164" fontId="15" fillId="35" borderId="0" xfId="1" applyNumberFormat="1" applyFont="1" applyFill="1" applyBorder="1"/>
    <xf numFmtId="164" fontId="38" fillId="35" borderId="30" xfId="1" applyNumberFormat="1" applyFont="1" applyFill="1" applyBorder="1"/>
    <xf numFmtId="164" fontId="38" fillId="35" borderId="42" xfId="1" applyNumberFormat="1" applyFont="1" applyFill="1" applyBorder="1"/>
    <xf numFmtId="164" fontId="38" fillId="0" borderId="0" xfId="1" applyNumberFormat="1" applyFont="1" applyFill="1" applyBorder="1"/>
    <xf numFmtId="0" fontId="15" fillId="0" borderId="0" xfId="2190" applyFont="1"/>
    <xf numFmtId="164" fontId="38" fillId="0" borderId="29" xfId="40065" quotePrefix="1" applyNumberFormat="1" applyFont="1" applyFill="1" applyBorder="1" applyAlignment="1">
      <alignment horizontal="center"/>
    </xf>
    <xf numFmtId="164" fontId="38" fillId="0" borderId="0" xfId="40065" applyNumberFormat="1" applyFont="1" applyFill="1" applyBorder="1" applyAlignment="1">
      <alignment horizontal="center" vertical="center" wrapText="1"/>
    </xf>
    <xf numFmtId="164" fontId="38" fillId="0" borderId="29" xfId="40065" applyNumberFormat="1" applyFont="1" applyBorder="1" applyAlignment="1">
      <alignment horizontal="center" vertical="center" wrapText="1"/>
    </xf>
    <xf numFmtId="0" fontId="15" fillId="0" borderId="0" xfId="2190" applyFont="1" applyBorder="1"/>
    <xf numFmtId="164" fontId="38" fillId="35" borderId="0" xfId="1" quotePrefix="1" applyNumberFormat="1" applyFont="1" applyFill="1" applyBorder="1" applyAlignment="1">
      <alignment horizontal="center"/>
    </xf>
    <xf numFmtId="164" fontId="38" fillId="35" borderId="29" xfId="1" quotePrefix="1" applyNumberFormat="1" applyFont="1" applyFill="1" applyBorder="1" applyAlignment="1">
      <alignment horizontal="center"/>
    </xf>
    <xf numFmtId="164" fontId="16" fillId="35" borderId="30" xfId="1" applyNumberFormat="1" applyFont="1" applyFill="1" applyBorder="1"/>
    <xf numFmtId="164" fontId="16" fillId="35" borderId="0" xfId="1" applyNumberFormat="1" applyFont="1" applyFill="1" applyBorder="1"/>
    <xf numFmtId="164" fontId="76" fillId="35" borderId="0" xfId="1" applyNumberFormat="1" applyFont="1" applyFill="1" applyBorder="1"/>
    <xf numFmtId="164" fontId="16" fillId="0" borderId="21" xfId="40083" applyNumberFormat="1" applyFont="1" applyFill="1" applyBorder="1" applyAlignment="1">
      <alignment horizontal="center"/>
    </xf>
    <xf numFmtId="0" fontId="15" fillId="0" borderId="0" xfId="40084" applyNumberFormat="1" applyFont="1" applyFill="1" applyBorder="1" applyAlignment="1">
      <alignment horizontal="right"/>
    </xf>
    <xf numFmtId="164" fontId="38" fillId="0" borderId="29" xfId="40065" quotePrefix="1" applyNumberFormat="1" applyFont="1" applyFill="1" applyBorder="1" applyAlignment="1">
      <alignment horizontal="center"/>
    </xf>
    <xf numFmtId="0" fontId="77" fillId="0" borderId="0" xfId="40098" applyFont="1" applyFill="1" applyBorder="1"/>
    <xf numFmtId="0" fontId="78" fillId="0" borderId="0" xfId="40098" applyFont="1" applyFill="1" applyBorder="1"/>
    <xf numFmtId="164" fontId="78" fillId="0" borderId="42" xfId="1" applyNumberFormat="1" applyFont="1" applyBorder="1"/>
    <xf numFmtId="164" fontId="78" fillId="0" borderId="24" xfId="1" applyNumberFormat="1" applyFont="1" applyBorder="1"/>
    <xf numFmtId="164" fontId="77" fillId="0" borderId="0" xfId="1" applyNumberFormat="1" applyFont="1" applyAlignment="1">
      <alignment horizontal="left"/>
    </xf>
    <xf numFmtId="164" fontId="77" fillId="0" borderId="0" xfId="1" applyNumberFormat="1" applyFont="1" applyBorder="1" applyAlignment="1">
      <alignment horizontal="center"/>
    </xf>
    <xf numFmtId="164" fontId="78" fillId="0" borderId="0" xfId="1" applyNumberFormat="1" applyFont="1" applyBorder="1"/>
    <xf numFmtId="164" fontId="0" fillId="0" borderId="0" xfId="40097" applyNumberFormat="1" applyFont="1"/>
    <xf numFmtId="43" fontId="0" fillId="0" borderId="0" xfId="40097" applyFont="1"/>
    <xf numFmtId="164" fontId="0" fillId="0" borderId="30" xfId="40097" applyNumberFormat="1" applyFont="1" applyBorder="1"/>
    <xf numFmtId="15" fontId="0" fillId="0" borderId="0" xfId="0" applyNumberFormat="1" applyAlignment="1">
      <alignment wrapText="1"/>
    </xf>
    <xf numFmtId="164" fontId="78" fillId="0" borderId="30" xfId="1" applyNumberFormat="1" applyFont="1" applyBorder="1"/>
    <xf numFmtId="164" fontId="0" fillId="0" borderId="0" xfId="40097" applyNumberFormat="1" applyFont="1" applyBorder="1"/>
    <xf numFmtId="164" fontId="84" fillId="0" borderId="0" xfId="40097" applyNumberFormat="1" applyFont="1"/>
    <xf numFmtId="43" fontId="84" fillId="0" borderId="0" xfId="40097" applyFont="1"/>
    <xf numFmtId="0" fontId="86" fillId="0" borderId="0" xfId="40099" applyFont="1"/>
    <xf numFmtId="0" fontId="4" fillId="0" borderId="0" xfId="40099"/>
    <xf numFmtId="0" fontId="85" fillId="0" borderId="0" xfId="40100" applyFont="1" applyFill="1" applyBorder="1" applyAlignment="1">
      <alignment horizontal="left" vertical="top"/>
    </xf>
    <xf numFmtId="0" fontId="87" fillId="0" borderId="0" xfId="40100" applyFill="1" applyBorder="1" applyAlignment="1">
      <alignment horizontal="left" vertical="top"/>
    </xf>
    <xf numFmtId="0" fontId="87" fillId="0" borderId="2" xfId="40100" applyFill="1" applyBorder="1" applyAlignment="1">
      <alignment horizontal="left" vertical="top"/>
    </xf>
    <xf numFmtId="0" fontId="87" fillId="0" borderId="48" xfId="40100" applyFill="1" applyBorder="1" applyAlignment="1">
      <alignment horizontal="left" vertical="top"/>
    </xf>
    <xf numFmtId="0" fontId="87" fillId="0" borderId="49" xfId="40100" applyFill="1" applyBorder="1" applyAlignment="1">
      <alignment horizontal="left" vertical="top"/>
    </xf>
    <xf numFmtId="0" fontId="87" fillId="0" borderId="3" xfId="40100" applyFill="1" applyBorder="1" applyAlignment="1">
      <alignment horizontal="left" vertical="top"/>
    </xf>
    <xf numFmtId="0" fontId="87" fillId="0" borderId="5" xfId="40100" applyFill="1" applyBorder="1" applyAlignment="1">
      <alignment horizontal="left" vertical="top"/>
    </xf>
    <xf numFmtId="0" fontId="87" fillId="0" borderId="6" xfId="40100" applyFill="1" applyBorder="1" applyAlignment="1">
      <alignment horizontal="left" vertical="top"/>
    </xf>
    <xf numFmtId="0" fontId="87" fillId="0" borderId="29" xfId="40100" applyFill="1" applyBorder="1" applyAlignment="1">
      <alignment horizontal="left" vertical="top"/>
    </xf>
    <xf numFmtId="0" fontId="87" fillId="0" borderId="11" xfId="40100" applyFill="1" applyBorder="1" applyAlignment="1">
      <alignment horizontal="left" vertical="top"/>
    </xf>
    <xf numFmtId="0" fontId="89" fillId="0" borderId="0" xfId="0" applyFont="1" applyFill="1" applyBorder="1" applyAlignment="1">
      <alignment horizontal="center" vertical="top" wrapText="1"/>
    </xf>
    <xf numFmtId="0" fontId="96" fillId="0" borderId="0" xfId="0" applyFont="1" applyFill="1" applyBorder="1" applyAlignment="1">
      <alignment horizontal="center" vertical="top"/>
    </xf>
    <xf numFmtId="0" fontId="97" fillId="0" borderId="0" xfId="40064" applyFont="1" applyFill="1"/>
    <xf numFmtId="0" fontId="97" fillId="0" borderId="0" xfId="40064" applyFont="1" applyFill="1" applyAlignment="1">
      <alignment horizontal="center"/>
    </xf>
    <xf numFmtId="164" fontId="97" fillId="0" borderId="0" xfId="40065" applyNumberFormat="1" applyFont="1" applyFill="1"/>
    <xf numFmtId="0" fontId="97" fillId="0" borderId="0" xfId="40064" applyFont="1" applyFill="1" applyBorder="1"/>
    <xf numFmtId="0" fontId="97" fillId="0" borderId="0" xfId="40064" applyFont="1"/>
    <xf numFmtId="0" fontId="98" fillId="15" borderId="0" xfId="40064" applyFont="1" applyFill="1" applyAlignment="1">
      <alignment horizontal="center"/>
    </xf>
    <xf numFmtId="0" fontId="98" fillId="15" borderId="0" xfId="40064" applyFont="1" applyFill="1" applyBorder="1" applyAlignment="1">
      <alignment horizontal="center"/>
    </xf>
    <xf numFmtId="0" fontId="99" fillId="0" borderId="0" xfId="40064" applyFont="1" applyFill="1" applyAlignment="1">
      <alignment horizontal="center"/>
    </xf>
    <xf numFmtId="0" fontId="98" fillId="0" borderId="0" xfId="40064" applyFont="1" applyFill="1" applyAlignment="1">
      <alignment horizontal="center"/>
    </xf>
    <xf numFmtId="0" fontId="97" fillId="0" borderId="0" xfId="40064" applyFont="1" applyFill="1" applyBorder="1" applyAlignment="1">
      <alignment horizontal="center"/>
    </xf>
    <xf numFmtId="164" fontId="97" fillId="0" borderId="0" xfId="40065" applyNumberFormat="1" applyFont="1" applyFill="1" applyBorder="1"/>
    <xf numFmtId="0" fontId="98" fillId="0" borderId="0" xfId="40064" applyFont="1" applyFill="1" applyBorder="1"/>
    <xf numFmtId="0" fontId="98" fillId="0" borderId="0" xfId="40064" applyFont="1" applyFill="1" applyBorder="1" applyAlignment="1">
      <alignment wrapText="1"/>
    </xf>
    <xf numFmtId="164" fontId="98" fillId="0" borderId="0" xfId="40065" quotePrefix="1" applyNumberFormat="1" applyFont="1" applyFill="1" applyBorder="1" applyAlignment="1">
      <alignment horizontal="center"/>
    </xf>
    <xf numFmtId="0" fontId="98" fillId="0" borderId="0" xfId="40064" applyFont="1" applyFill="1" applyBorder="1" applyAlignment="1">
      <alignment horizontal="center" wrapText="1"/>
    </xf>
    <xf numFmtId="0" fontId="98" fillId="0" borderId="29" xfId="40064" applyFont="1" applyFill="1" applyBorder="1"/>
    <xf numFmtId="0" fontId="98" fillId="0" borderId="29" xfId="40064" applyFont="1" applyFill="1" applyBorder="1" applyAlignment="1">
      <alignment horizontal="center" wrapText="1"/>
    </xf>
    <xf numFmtId="164" fontId="98" fillId="0" borderId="29" xfId="40065" quotePrefix="1" applyNumberFormat="1" applyFont="1" applyFill="1" applyBorder="1" applyAlignment="1">
      <alignment horizontal="center"/>
    </xf>
    <xf numFmtId="174" fontId="97" fillId="0" borderId="0" xfId="40065" applyNumberFormat="1" applyFont="1" applyFill="1" applyBorder="1"/>
    <xf numFmtId="0" fontId="97" fillId="16" borderId="0" xfId="40064" applyFont="1" applyFill="1"/>
    <xf numFmtId="164" fontId="97" fillId="16" borderId="0" xfId="40064" applyNumberFormat="1" applyFont="1" applyFill="1"/>
    <xf numFmtId="0" fontId="98" fillId="0" borderId="0" xfId="40064" applyFont="1" applyFill="1" applyBorder="1" applyAlignment="1">
      <alignment horizontal="center"/>
    </xf>
    <xf numFmtId="164" fontId="98" fillId="0" borderId="0" xfId="40065" applyNumberFormat="1" applyFont="1" applyFill="1" applyBorder="1"/>
    <xf numFmtId="164" fontId="98" fillId="35" borderId="0" xfId="40065" applyNumberFormat="1" applyFont="1" applyFill="1" applyBorder="1"/>
    <xf numFmtId="0" fontId="98" fillId="0" borderId="0" xfId="40064" applyFont="1"/>
    <xf numFmtId="164" fontId="98" fillId="0" borderId="24" xfId="40065" applyNumberFormat="1" applyFont="1" applyFill="1" applyBorder="1"/>
    <xf numFmtId="164" fontId="97" fillId="0" borderId="0" xfId="40064" applyNumberFormat="1" applyFont="1" applyFill="1"/>
    <xf numFmtId="164" fontId="97" fillId="0" borderId="0" xfId="40064" applyNumberFormat="1" applyFont="1"/>
    <xf numFmtId="164" fontId="98" fillId="0" borderId="0" xfId="40064" applyNumberFormat="1" applyFont="1"/>
    <xf numFmtId="0" fontId="98" fillId="0" borderId="0" xfId="40064" applyFont="1" applyFill="1" applyBorder="1" applyAlignment="1">
      <alignment vertical="center" wrapText="1"/>
    </xf>
    <xf numFmtId="0" fontId="98" fillId="0" borderId="0" xfId="40064" applyFont="1" applyFill="1" applyBorder="1" applyAlignment="1">
      <alignment horizontal="center" vertical="center"/>
    </xf>
    <xf numFmtId="164" fontId="98" fillId="0" borderId="0" xfId="40065" applyNumberFormat="1" applyFont="1" applyFill="1" applyBorder="1" applyAlignment="1">
      <alignment vertical="center"/>
    </xf>
    <xf numFmtId="0" fontId="98" fillId="0" borderId="0" xfId="40064" applyFont="1" applyAlignment="1">
      <alignment vertical="center"/>
    </xf>
    <xf numFmtId="0" fontId="97" fillId="0" borderId="0" xfId="40064" applyFont="1" applyFill="1" applyBorder="1" applyAlignment="1">
      <alignment vertical="center"/>
    </xf>
    <xf numFmtId="0" fontId="101" fillId="0" borderId="0" xfId="2190" applyFont="1" applyBorder="1" applyAlignment="1">
      <alignment vertical="top" wrapText="1"/>
    </xf>
    <xf numFmtId="0" fontId="101" fillId="0" borderId="0" xfId="2190" applyFont="1" applyAlignment="1">
      <alignment vertical="top" wrapText="1"/>
    </xf>
    <xf numFmtId="0" fontId="106" fillId="0" borderId="0" xfId="40064" applyFont="1" applyAlignment="1">
      <alignment vertical="center"/>
    </xf>
    <xf numFmtId="43" fontId="107" fillId="0" borderId="0" xfId="40065" applyFont="1" applyFill="1" applyBorder="1"/>
    <xf numFmtId="43" fontId="97" fillId="0" borderId="0" xfId="40064" applyNumberFormat="1" applyFont="1" applyFill="1"/>
    <xf numFmtId="0" fontId="98" fillId="0" borderId="52" xfId="40064" applyFont="1" applyFill="1" applyBorder="1"/>
    <xf numFmtId="0" fontId="97" fillId="0" borderId="52" xfId="40064" applyFont="1" applyFill="1" applyBorder="1" applyAlignment="1">
      <alignment horizontal="center"/>
    </xf>
    <xf numFmtId="164" fontId="97" fillId="0" borderId="52" xfId="40065" applyNumberFormat="1" applyFont="1" applyFill="1" applyBorder="1"/>
    <xf numFmtId="0" fontId="97" fillId="0" borderId="54" xfId="40064" applyFont="1" applyFill="1" applyBorder="1"/>
    <xf numFmtId="0" fontId="97" fillId="0" borderId="54" xfId="40064" applyFont="1" applyFill="1" applyBorder="1" applyAlignment="1">
      <alignment horizontal="center"/>
    </xf>
    <xf numFmtId="164" fontId="97" fillId="0" borderId="54" xfId="40065" applyNumberFormat="1" applyFont="1" applyFill="1" applyBorder="1"/>
    <xf numFmtId="174" fontId="97" fillId="0" borderId="54" xfId="40065" applyNumberFormat="1" applyFont="1" applyFill="1" applyBorder="1"/>
    <xf numFmtId="164" fontId="100" fillId="0" borderId="54" xfId="40065" applyNumberFormat="1" applyFont="1" applyFill="1" applyBorder="1"/>
    <xf numFmtId="43" fontId="100" fillId="0" borderId="54" xfId="1" applyFont="1" applyFill="1" applyBorder="1"/>
    <xf numFmtId="0" fontId="101" fillId="0" borderId="56" xfId="40064" applyFont="1" applyFill="1" applyBorder="1"/>
    <xf numFmtId="0" fontId="97" fillId="0" borderId="56" xfId="40064" applyFont="1" applyFill="1" applyBorder="1" applyAlignment="1">
      <alignment horizontal="center"/>
    </xf>
    <xf numFmtId="164" fontId="97" fillId="0" borderId="56" xfId="40065" applyNumberFormat="1" applyFont="1" applyFill="1" applyBorder="1"/>
    <xf numFmtId="174" fontId="97" fillId="0" borderId="56" xfId="40065" applyNumberFormat="1" applyFont="1" applyFill="1" applyBorder="1"/>
    <xf numFmtId="0" fontId="101" fillId="0" borderId="54" xfId="40064" applyFont="1" applyFill="1" applyBorder="1"/>
    <xf numFmtId="0" fontId="97" fillId="0" borderId="2" xfId="40064" applyFont="1" applyBorder="1"/>
    <xf numFmtId="0" fontId="97" fillId="0" borderId="48" xfId="40064" applyFont="1" applyFill="1" applyBorder="1"/>
    <xf numFmtId="0" fontId="97" fillId="0" borderId="48" xfId="40064" applyFont="1" applyFill="1" applyBorder="1" applyAlignment="1">
      <alignment horizontal="center"/>
    </xf>
    <xf numFmtId="164" fontId="97" fillId="0" borderId="48" xfId="40065" applyNumberFormat="1" applyFont="1" applyFill="1" applyBorder="1"/>
    <xf numFmtId="0" fontId="97" fillId="0" borderId="49" xfId="40064" applyFont="1" applyFill="1" applyBorder="1"/>
    <xf numFmtId="0" fontId="97" fillId="0" borderId="3" xfId="40064" applyFont="1" applyBorder="1"/>
    <xf numFmtId="0" fontId="98" fillId="0" borderId="5" xfId="40064" applyFont="1" applyFill="1" applyBorder="1" applyAlignment="1">
      <alignment horizontal="center" wrapText="1"/>
    </xf>
    <xf numFmtId="164" fontId="98" fillId="0" borderId="5" xfId="40065" quotePrefix="1" applyNumberFormat="1" applyFont="1" applyFill="1" applyBorder="1" applyAlignment="1">
      <alignment horizontal="center"/>
    </xf>
    <xf numFmtId="164" fontId="97" fillId="0" borderId="5" xfId="40065" applyNumberFormat="1" applyFont="1" applyFill="1" applyBorder="1"/>
    <xf numFmtId="174" fontId="97" fillId="0" borderId="5" xfId="40065" applyNumberFormat="1" applyFont="1" applyFill="1" applyBorder="1"/>
    <xf numFmtId="0" fontId="97" fillId="0" borderId="3" xfId="40064" applyFont="1" applyFill="1" applyBorder="1"/>
    <xf numFmtId="0" fontId="98" fillId="0" borderId="3" xfId="40064" applyFont="1" applyBorder="1"/>
    <xf numFmtId="0" fontId="98" fillId="0" borderId="3" xfId="40064" applyFont="1" applyBorder="1" applyAlignment="1">
      <alignment vertical="center"/>
    </xf>
    <xf numFmtId="164" fontId="98" fillId="0" borderId="5" xfId="40065" applyNumberFormat="1" applyFont="1" applyFill="1" applyBorder="1" applyAlignment="1">
      <alignment vertical="center"/>
    </xf>
    <xf numFmtId="0" fontId="102" fillId="0" borderId="0" xfId="2190" applyFont="1" applyBorder="1"/>
    <xf numFmtId="0" fontId="101" fillId="0" borderId="0" xfId="2190" applyFont="1" applyBorder="1"/>
    <xf numFmtId="0" fontId="101" fillId="0" borderId="5" xfId="2190" applyFont="1" applyBorder="1" applyAlignment="1">
      <alignment horizontal="justify" vertical="top" wrapText="1"/>
    </xf>
    <xf numFmtId="0" fontId="104" fillId="0" borderId="0" xfId="2190" applyFont="1" applyBorder="1" applyAlignment="1"/>
    <xf numFmtId="0" fontId="105" fillId="0" borderId="0" xfId="2190" applyFont="1" applyBorder="1" applyAlignment="1"/>
    <xf numFmtId="0" fontId="104" fillId="0" borderId="0" xfId="2190" applyFont="1" applyBorder="1"/>
    <xf numFmtId="0" fontId="101" fillId="0" borderId="0" xfId="0" applyFont="1" applyBorder="1"/>
    <xf numFmtId="0" fontId="98" fillId="0" borderId="6" xfId="40064" applyFont="1" applyBorder="1" applyAlignment="1">
      <alignment vertical="center"/>
    </xf>
    <xf numFmtId="0" fontId="98" fillId="0" borderId="29" xfId="40064" applyFont="1" applyFill="1" applyBorder="1" applyAlignment="1">
      <alignment vertical="center" wrapText="1"/>
    </xf>
    <xf numFmtId="0" fontId="98" fillId="0" borderId="29" xfId="40064" applyFont="1" applyFill="1" applyBorder="1" applyAlignment="1">
      <alignment horizontal="center" vertical="center"/>
    </xf>
    <xf numFmtId="164" fontId="98" fillId="0" borderId="29" xfId="40065" applyNumberFormat="1" applyFont="1" applyFill="1" applyBorder="1" applyAlignment="1">
      <alignment vertical="center"/>
    </xf>
    <xf numFmtId="0" fontId="98" fillId="0" borderId="29" xfId="40064" applyFont="1" applyBorder="1" applyAlignment="1">
      <alignment vertical="center"/>
    </xf>
    <xf numFmtId="164" fontId="98" fillId="0" borderId="11" xfId="40065" applyNumberFormat="1" applyFont="1" applyFill="1" applyBorder="1" applyAlignment="1">
      <alignment vertical="center"/>
    </xf>
    <xf numFmtId="164" fontId="98" fillId="35" borderId="4" xfId="40065" quotePrefix="1" applyNumberFormat="1" applyFont="1" applyFill="1" applyBorder="1" applyAlignment="1">
      <alignment horizontal="center"/>
    </xf>
    <xf numFmtId="164" fontId="98" fillId="35" borderId="8" xfId="40065" quotePrefix="1" applyNumberFormat="1" applyFont="1" applyFill="1" applyBorder="1" applyAlignment="1">
      <alignment horizontal="center"/>
    </xf>
    <xf numFmtId="164" fontId="98" fillId="35" borderId="7" xfId="40065" quotePrefix="1" applyNumberFormat="1" applyFont="1" applyFill="1" applyBorder="1" applyAlignment="1">
      <alignment horizontal="center"/>
    </xf>
    <xf numFmtId="164" fontId="97" fillId="35" borderId="53" xfId="40065" applyNumberFormat="1" applyFont="1" applyFill="1" applyBorder="1"/>
    <xf numFmtId="164" fontId="97" fillId="35" borderId="55" xfId="40065" applyNumberFormat="1" applyFont="1" applyFill="1" applyBorder="1"/>
    <xf numFmtId="164" fontId="97" fillId="35" borderId="8" xfId="40065" applyNumberFormat="1" applyFont="1" applyFill="1" applyBorder="1"/>
    <xf numFmtId="164" fontId="98" fillId="35" borderId="8" xfId="40065" applyNumberFormat="1" applyFont="1" applyFill="1" applyBorder="1"/>
    <xf numFmtId="164" fontId="97" fillId="35" borderId="57" xfId="40065" applyNumberFormat="1" applyFont="1" applyFill="1" applyBorder="1"/>
    <xf numFmtId="164" fontId="98" fillId="35" borderId="58" xfId="40065" applyNumberFormat="1" applyFont="1" applyFill="1" applyBorder="1"/>
    <xf numFmtId="164" fontId="98" fillId="35" borderId="8" xfId="40065" applyNumberFormat="1" applyFont="1" applyFill="1" applyBorder="1" applyAlignment="1">
      <alignment vertical="center"/>
    </xf>
    <xf numFmtId="0" fontId="97" fillId="0" borderId="59" xfId="40064" applyFont="1" applyFill="1" applyBorder="1"/>
    <xf numFmtId="0" fontId="97" fillId="0" borderId="59" xfId="40064" applyFont="1" applyFill="1" applyBorder="1" applyAlignment="1">
      <alignment horizontal="center"/>
    </xf>
    <xf numFmtId="43" fontId="97" fillId="0" borderId="59" xfId="1" applyFont="1" applyFill="1" applyBorder="1"/>
    <xf numFmtId="164" fontId="97" fillId="0" borderId="59" xfId="40065" applyNumberFormat="1" applyFont="1" applyFill="1" applyBorder="1"/>
    <xf numFmtId="174" fontId="97" fillId="0" borderId="59" xfId="40065" applyNumberFormat="1" applyFont="1" applyFill="1" applyBorder="1"/>
    <xf numFmtId="0" fontId="98" fillId="0" borderId="24" xfId="40064" applyFont="1" applyFill="1" applyBorder="1"/>
    <xf numFmtId="0" fontId="98" fillId="0" borderId="24" xfId="40064" applyFont="1" applyFill="1" applyBorder="1" applyAlignment="1">
      <alignment horizontal="center"/>
    </xf>
    <xf numFmtId="174" fontId="97" fillId="0" borderId="24" xfId="40065" applyNumberFormat="1" applyFont="1" applyFill="1" applyBorder="1"/>
    <xf numFmtId="0" fontId="98" fillId="0" borderId="30" xfId="40064" applyFont="1" applyFill="1" applyBorder="1"/>
    <xf numFmtId="0" fontId="98" fillId="0" borderId="30" xfId="40064" applyFont="1" applyFill="1" applyBorder="1" applyAlignment="1">
      <alignment horizontal="center"/>
    </xf>
    <xf numFmtId="164" fontId="98" fillId="35" borderId="10" xfId="40065" applyNumberFormat="1" applyFont="1" applyFill="1" applyBorder="1"/>
    <xf numFmtId="164" fontId="98" fillId="0" borderId="30" xfId="40065" applyNumberFormat="1" applyFont="1" applyFill="1" applyBorder="1"/>
    <xf numFmtId="174" fontId="97" fillId="0" borderId="30" xfId="40065" applyNumberFormat="1" applyFont="1" applyFill="1" applyBorder="1"/>
    <xf numFmtId="0" fontId="14" fillId="0" borderId="0" xfId="14457" applyFont="1" applyFill="1" applyAlignment="1">
      <alignment horizontal="center"/>
    </xf>
    <xf numFmtId="0" fontId="97" fillId="0" borderId="0" xfId="14457" applyFont="1"/>
    <xf numFmtId="0" fontId="99" fillId="0" borderId="0" xfId="14457" applyFont="1" applyFill="1" applyAlignment="1">
      <alignment horizontal="center"/>
    </xf>
    <xf numFmtId="0" fontId="98" fillId="0" borderId="0" xfId="14457" applyFont="1" applyFill="1" applyAlignment="1">
      <alignment horizontal="center"/>
    </xf>
    <xf numFmtId="0" fontId="97" fillId="0" borderId="0" xfId="14457" applyFont="1" applyFill="1"/>
    <xf numFmtId="0" fontId="98" fillId="0" borderId="0" xfId="14457" applyFont="1" applyBorder="1"/>
    <xf numFmtId="0" fontId="98" fillId="0" borderId="0" xfId="14457" applyFont="1" applyBorder="1" applyAlignment="1">
      <alignment horizontal="center" wrapText="1"/>
    </xf>
    <xf numFmtId="0" fontId="98" fillId="0" borderId="0" xfId="14457" applyFont="1" applyFill="1" applyBorder="1" applyAlignment="1">
      <alignment horizontal="center" wrapText="1"/>
    </xf>
    <xf numFmtId="0" fontId="97" fillId="0" borderId="0" xfId="14457" applyFont="1" applyBorder="1"/>
    <xf numFmtId="164" fontId="98" fillId="35" borderId="4" xfId="14458" quotePrefix="1" applyNumberFormat="1" applyFont="1" applyFill="1" applyBorder="1" applyAlignment="1">
      <alignment horizontal="center"/>
    </xf>
    <xf numFmtId="0" fontId="98" fillId="0" borderId="0" xfId="14457" quotePrefix="1" applyFont="1" applyBorder="1" applyAlignment="1">
      <alignment horizontal="center"/>
    </xf>
    <xf numFmtId="0" fontId="98" fillId="0" borderId="0" xfId="14457" quotePrefix="1" applyFont="1" applyFill="1" applyBorder="1" applyAlignment="1">
      <alignment horizontal="center"/>
    </xf>
    <xf numFmtId="164" fontId="98" fillId="35" borderId="8" xfId="14458" quotePrefix="1" applyNumberFormat="1" applyFont="1" applyFill="1" applyBorder="1" applyAlignment="1">
      <alignment horizontal="center"/>
    </xf>
    <xf numFmtId="0" fontId="98" fillId="0" borderId="29" xfId="14457" applyFont="1" applyBorder="1"/>
    <xf numFmtId="164" fontId="98" fillId="35" borderId="7" xfId="14458" quotePrefix="1" applyNumberFormat="1" applyFont="1" applyFill="1" applyBorder="1" applyAlignment="1">
      <alignment horizontal="center"/>
    </xf>
    <xf numFmtId="0" fontId="98" fillId="0" borderId="29" xfId="14457" quotePrefix="1" applyFont="1" applyBorder="1" applyAlignment="1">
      <alignment horizontal="center"/>
    </xf>
    <xf numFmtId="164" fontId="98" fillId="0" borderId="29" xfId="14458" quotePrefix="1" applyNumberFormat="1" applyFont="1" applyFill="1" applyBorder="1" applyAlignment="1">
      <alignment horizontal="center"/>
    </xf>
    <xf numFmtId="0" fontId="98" fillId="0" borderId="29" xfId="14457" quotePrefix="1" applyFont="1" applyFill="1" applyBorder="1" applyAlignment="1">
      <alignment horizontal="center"/>
    </xf>
    <xf numFmtId="0" fontId="97" fillId="0" borderId="29" xfId="14457" applyFont="1" applyBorder="1"/>
    <xf numFmtId="164" fontId="97" fillId="35" borderId="8" xfId="14458" applyNumberFormat="1" applyFont="1" applyFill="1" applyBorder="1"/>
    <xf numFmtId="164" fontId="97" fillId="0" borderId="0" xfId="14458" applyNumberFormat="1" applyFont="1" applyFill="1" applyBorder="1"/>
    <xf numFmtId="174" fontId="97" fillId="0" borderId="0" xfId="14458" applyNumberFormat="1" applyFont="1" applyFill="1" applyBorder="1"/>
    <xf numFmtId="164" fontId="97" fillId="35" borderId="9" xfId="14458" applyNumberFormat="1" applyFont="1" applyFill="1" applyBorder="1"/>
    <xf numFmtId="164" fontId="97" fillId="0" borderId="21" xfId="14458" applyNumberFormat="1" applyFont="1" applyFill="1" applyBorder="1"/>
    <xf numFmtId="0" fontId="98" fillId="0" borderId="0" xfId="14457" applyFont="1"/>
    <xf numFmtId="164" fontId="98" fillId="35" borderId="8" xfId="14458" applyNumberFormat="1" applyFont="1" applyFill="1" applyBorder="1"/>
    <xf numFmtId="164" fontId="98" fillId="0" borderId="0" xfId="14458" applyNumberFormat="1" applyFont="1" applyFill="1" applyBorder="1"/>
    <xf numFmtId="164" fontId="97" fillId="0" borderId="0" xfId="1" applyNumberFormat="1" applyFont="1" applyFill="1" applyBorder="1"/>
    <xf numFmtId="0" fontId="97" fillId="0" borderId="0" xfId="14457" applyFont="1" applyFill="1" applyBorder="1"/>
    <xf numFmtId="164" fontId="97" fillId="0" borderId="0" xfId="14458" applyNumberFormat="1" applyFont="1" applyBorder="1"/>
    <xf numFmtId="43" fontId="97" fillId="0" borderId="0" xfId="14458" applyFont="1" applyFill="1" applyBorder="1" applyAlignment="1">
      <alignment horizontal="center"/>
    </xf>
    <xf numFmtId="175" fontId="97" fillId="0" borderId="0" xfId="40082" applyNumberFormat="1" applyFont="1" applyFill="1" applyBorder="1"/>
    <xf numFmtId="43" fontId="97" fillId="0" borderId="0" xfId="14458" applyFont="1" applyFill="1" applyBorder="1"/>
    <xf numFmtId="43" fontId="97" fillId="35" borderId="7" xfId="14458" applyFont="1" applyFill="1" applyBorder="1" applyAlignment="1">
      <alignment horizontal="center"/>
    </xf>
    <xf numFmtId="0" fontId="100" fillId="0" borderId="0" xfId="14457" applyFont="1"/>
    <xf numFmtId="0" fontId="100" fillId="0" borderId="0" xfId="14457" applyFont="1" applyBorder="1"/>
    <xf numFmtId="0" fontId="98" fillId="0" borderId="30" xfId="14457" applyFont="1" applyBorder="1"/>
    <xf numFmtId="164" fontId="98" fillId="35" borderId="10" xfId="14458" applyNumberFormat="1" applyFont="1" applyFill="1" applyBorder="1"/>
    <xf numFmtId="164" fontId="98" fillId="0" borderId="30" xfId="14458" applyNumberFormat="1" applyFont="1" applyFill="1" applyBorder="1"/>
    <xf numFmtId="174" fontId="97" fillId="0" borderId="30" xfId="14458" applyNumberFormat="1" applyFont="1" applyFill="1" applyBorder="1"/>
    <xf numFmtId="0" fontId="97" fillId="0" borderId="21" xfId="14457" applyFont="1" applyBorder="1"/>
    <xf numFmtId="174" fontId="97" fillId="0" borderId="21" xfId="14458" applyNumberFormat="1" applyFont="1" applyFill="1" applyBorder="1"/>
    <xf numFmtId="164" fontId="97" fillId="0" borderId="21" xfId="1" applyNumberFormat="1" applyFont="1" applyFill="1" applyBorder="1"/>
    <xf numFmtId="0" fontId="97" fillId="0" borderId="24" xfId="14457" applyFont="1" applyBorder="1"/>
    <xf numFmtId="164" fontId="97" fillId="35" borderId="58" xfId="14458" applyNumberFormat="1" applyFont="1" applyFill="1" applyBorder="1"/>
    <xf numFmtId="164" fontId="97" fillId="0" borderId="24" xfId="14458" applyNumberFormat="1" applyFont="1" applyFill="1" applyBorder="1"/>
    <xf numFmtId="174" fontId="97" fillId="0" borderId="24" xfId="14458" applyNumberFormat="1" applyFont="1" applyFill="1" applyBorder="1"/>
    <xf numFmtId="0" fontId="97" fillId="0" borderId="52" xfId="14457" applyFont="1" applyBorder="1"/>
    <xf numFmtId="164" fontId="97" fillId="35" borderId="53" xfId="14458" applyNumberFormat="1" applyFont="1" applyFill="1" applyBorder="1"/>
    <xf numFmtId="164" fontId="97" fillId="0" borderId="52" xfId="14458" applyNumberFormat="1" applyFont="1" applyFill="1" applyBorder="1"/>
    <xf numFmtId="174" fontId="97" fillId="0" borderId="52" xfId="14458" applyNumberFormat="1" applyFont="1" applyFill="1" applyBorder="1"/>
    <xf numFmtId="164" fontId="98" fillId="35" borderId="4" xfId="40065" applyNumberFormat="1" applyFont="1" applyFill="1" applyBorder="1" applyAlignment="1">
      <alignment vertical="center"/>
    </xf>
    <xf numFmtId="164" fontId="98" fillId="35" borderId="7" xfId="40065" applyNumberFormat="1" applyFont="1" applyFill="1" applyBorder="1" applyAlignment="1">
      <alignment vertical="center"/>
    </xf>
    <xf numFmtId="0" fontId="93" fillId="0" borderId="0" xfId="0" applyFont="1" applyFill="1" applyBorder="1" applyAlignment="1">
      <alignment horizontal="center" vertical="top"/>
    </xf>
    <xf numFmtId="0" fontId="97" fillId="0" borderId="2" xfId="14457" applyFont="1" applyBorder="1"/>
    <xf numFmtId="0" fontId="99" fillId="0" borderId="48" xfId="14457" applyFont="1" applyFill="1" applyBorder="1" applyAlignment="1">
      <alignment horizontal="center"/>
    </xf>
    <xf numFmtId="0" fontId="98" fillId="0" borderId="48" xfId="14457" applyFont="1" applyFill="1" applyBorder="1" applyAlignment="1">
      <alignment horizontal="center"/>
    </xf>
    <xf numFmtId="0" fontId="97" fillId="0" borderId="49" xfId="14457" applyFont="1" applyFill="1" applyBorder="1"/>
    <xf numFmtId="0" fontId="97" fillId="0" borderId="3" xfId="14457" applyFont="1" applyBorder="1"/>
    <xf numFmtId="0" fontId="97" fillId="0" borderId="5" xfId="14457" applyFont="1" applyBorder="1"/>
    <xf numFmtId="0" fontId="98" fillId="0" borderId="3" xfId="14457" applyFont="1" applyBorder="1"/>
    <xf numFmtId="0" fontId="98" fillId="0" borderId="5" xfId="14457" applyFont="1" applyBorder="1"/>
    <xf numFmtId="0" fontId="97" fillId="0" borderId="3" xfId="14457" applyFont="1" applyFill="1" applyBorder="1"/>
    <xf numFmtId="0" fontId="97" fillId="0" borderId="5" xfId="14457" applyFont="1" applyFill="1" applyBorder="1"/>
    <xf numFmtId="0" fontId="100" fillId="0" borderId="3" xfId="14457" applyFont="1" applyBorder="1"/>
    <xf numFmtId="10" fontId="100" fillId="0" borderId="0" xfId="14454" applyNumberFormat="1" applyFont="1" applyFill="1" applyBorder="1"/>
    <xf numFmtId="164" fontId="100" fillId="0" borderId="0" xfId="14457" applyNumberFormat="1" applyFont="1" applyFill="1" applyBorder="1"/>
    <xf numFmtId="0" fontId="100" fillId="0" borderId="5" xfId="14457" applyFont="1" applyBorder="1"/>
    <xf numFmtId="10" fontId="97" fillId="0" borderId="0" xfId="14454" applyNumberFormat="1" applyFont="1" applyBorder="1"/>
    <xf numFmtId="164" fontId="97" fillId="0" borderId="0" xfId="14457" applyNumberFormat="1" applyFont="1" applyFill="1" applyBorder="1"/>
    <xf numFmtId="0" fontId="71" fillId="0" borderId="6" xfId="14457" applyFont="1" applyBorder="1"/>
    <xf numFmtId="164" fontId="71" fillId="0" borderId="29" xfId="14458" applyNumberFormat="1" applyFont="1" applyFill="1" applyBorder="1"/>
    <xf numFmtId="0" fontId="71" fillId="0" borderId="29" xfId="14457" applyFont="1" applyFill="1" applyBorder="1"/>
    <xf numFmtId="0" fontId="71" fillId="0" borderId="11" xfId="14457" applyFont="1" applyBorder="1"/>
    <xf numFmtId="0" fontId="98" fillId="0" borderId="61" xfId="14457" applyFont="1" applyBorder="1"/>
    <xf numFmtId="164" fontId="98" fillId="35" borderId="62" xfId="14458" applyNumberFormat="1" applyFont="1" applyFill="1" applyBorder="1"/>
    <xf numFmtId="164" fontId="98" fillId="0" borderId="61" xfId="14458" applyNumberFormat="1" applyFont="1" applyFill="1" applyBorder="1"/>
    <xf numFmtId="174" fontId="97" fillId="0" borderId="61" xfId="14458" applyNumberFormat="1" applyFont="1" applyFill="1" applyBorder="1"/>
    <xf numFmtId="0" fontId="97" fillId="0" borderId="54" xfId="14457" applyFont="1" applyBorder="1"/>
    <xf numFmtId="164" fontId="97" fillId="35" borderId="55" xfId="14458" applyNumberFormat="1" applyFont="1" applyFill="1" applyBorder="1"/>
    <xf numFmtId="164" fontId="97" fillId="0" borderId="54" xfId="14458" applyNumberFormat="1" applyFont="1" applyFill="1" applyBorder="1"/>
    <xf numFmtId="174" fontId="97" fillId="0" borderId="54" xfId="14458" applyNumberFormat="1" applyFont="1" applyFill="1" applyBorder="1"/>
    <xf numFmtId="0" fontId="98" fillId="0" borderId="54" xfId="14457" applyFont="1" applyBorder="1"/>
    <xf numFmtId="0" fontId="97" fillId="0" borderId="54" xfId="14457" applyFont="1" applyFill="1" applyBorder="1"/>
    <xf numFmtId="164" fontId="97" fillId="0" borderId="54" xfId="1" applyNumberFormat="1" applyFont="1" applyFill="1" applyBorder="1"/>
    <xf numFmtId="0" fontId="97" fillId="0" borderId="56" xfId="14457" applyFont="1" applyBorder="1"/>
    <xf numFmtId="164" fontId="97" fillId="35" borderId="57" xfId="14458" applyNumberFormat="1" applyFont="1" applyFill="1" applyBorder="1"/>
    <xf numFmtId="164" fontId="97" fillId="0" borderId="56" xfId="14458" applyNumberFormat="1" applyFont="1" applyFill="1" applyBorder="1"/>
    <xf numFmtId="174" fontId="97" fillId="0" borderId="56" xfId="14458" applyNumberFormat="1" applyFont="1" applyFill="1" applyBorder="1"/>
    <xf numFmtId="0" fontId="98" fillId="0" borderId="56" xfId="14457" applyFont="1" applyBorder="1"/>
    <xf numFmtId="164" fontId="98" fillId="35" borderId="57" xfId="14458" applyNumberFormat="1" applyFont="1" applyFill="1" applyBorder="1"/>
    <xf numFmtId="164" fontId="98" fillId="0" borderId="56" xfId="14458" applyNumberFormat="1" applyFont="1" applyFill="1" applyBorder="1"/>
    <xf numFmtId="0" fontId="97" fillId="0" borderId="2" xfId="14457" applyFont="1" applyFill="1" applyBorder="1"/>
    <xf numFmtId="174" fontId="97" fillId="0" borderId="0" xfId="40082" applyNumberFormat="1" applyFont="1" applyFill="1" applyBorder="1"/>
    <xf numFmtId="0" fontId="97" fillId="0" borderId="30" xfId="14457" applyFont="1" applyBorder="1"/>
    <xf numFmtId="164" fontId="97" fillId="35" borderId="10" xfId="14458" applyNumberFormat="1" applyFont="1" applyFill="1" applyBorder="1"/>
    <xf numFmtId="164" fontId="97" fillId="0" borderId="30" xfId="14458" applyNumberFormat="1" applyFont="1" applyFill="1" applyBorder="1"/>
    <xf numFmtId="0" fontId="97" fillId="0" borderId="6" xfId="14457" applyFont="1" applyBorder="1"/>
    <xf numFmtId="164" fontId="97" fillId="0" borderId="29" xfId="14458" applyNumberFormat="1" applyFont="1" applyFill="1" applyBorder="1"/>
    <xf numFmtId="0" fontId="97" fillId="0" borderId="29" xfId="14457" applyFont="1" applyFill="1" applyBorder="1"/>
    <xf numFmtId="0" fontId="97" fillId="0" borderId="11" xfId="14457" applyFont="1" applyBorder="1"/>
    <xf numFmtId="0" fontId="97" fillId="0" borderId="54" xfId="40064" applyFont="1" applyFill="1" applyBorder="1" applyAlignment="1">
      <alignment vertical="center" wrapText="1"/>
    </xf>
    <xf numFmtId="0" fontId="98" fillId="0" borderId="54" xfId="40064" applyFont="1" applyFill="1" applyBorder="1" applyAlignment="1">
      <alignment horizontal="center" vertical="center"/>
    </xf>
    <xf numFmtId="164" fontId="97" fillId="35" borderId="55" xfId="40065" applyNumberFormat="1" applyFont="1" applyFill="1" applyBorder="1" applyAlignment="1">
      <alignment vertical="center"/>
    </xf>
    <xf numFmtId="164" fontId="98" fillId="0" borderId="54" xfId="40065" applyNumberFormat="1" applyFont="1" applyFill="1" applyBorder="1" applyAlignment="1">
      <alignment vertical="center"/>
    </xf>
    <xf numFmtId="164" fontId="97" fillId="0" borderId="54" xfId="40065" applyNumberFormat="1" applyFont="1" applyFill="1" applyBorder="1" applyAlignment="1">
      <alignment vertical="center"/>
    </xf>
    <xf numFmtId="0" fontId="97" fillId="0" borderId="54" xfId="40064" applyFont="1" applyFill="1" applyBorder="1" applyAlignment="1">
      <alignment vertical="center"/>
    </xf>
    <xf numFmtId="43" fontId="98" fillId="35" borderId="55" xfId="40065" applyNumberFormat="1" applyFont="1" applyFill="1" applyBorder="1" applyAlignment="1">
      <alignment vertical="center"/>
    </xf>
    <xf numFmtId="43" fontId="97" fillId="0" borderId="54" xfId="1" applyFont="1" applyFill="1" applyBorder="1" applyAlignment="1">
      <alignment vertical="center"/>
    </xf>
    <xf numFmtId="43" fontId="97" fillId="35" borderId="55" xfId="14458" applyFont="1" applyFill="1" applyBorder="1" applyAlignment="1">
      <alignment horizontal="center"/>
    </xf>
    <xf numFmtId="43" fontId="97" fillId="0" borderId="54" xfId="14458" applyFont="1" applyFill="1" applyBorder="1" applyAlignment="1">
      <alignment horizontal="center"/>
    </xf>
    <xf numFmtId="175" fontId="97" fillId="0" borderId="54" xfId="40082" applyNumberFormat="1" applyFont="1" applyFill="1" applyBorder="1"/>
    <xf numFmtId="43" fontId="97" fillId="0" borderId="54" xfId="14458" applyFont="1" applyFill="1" applyBorder="1"/>
    <xf numFmtId="164" fontId="98" fillId="0" borderId="0" xfId="14458" quotePrefix="1" applyNumberFormat="1" applyFont="1" applyFill="1" applyBorder="1" applyAlignment="1">
      <alignment horizontal="center"/>
    </xf>
    <xf numFmtId="0" fontId="98" fillId="0" borderId="0" xfId="14457" applyFont="1" applyBorder="1" applyAlignment="1">
      <alignment horizontal="center"/>
    </xf>
    <xf numFmtId="0" fontId="98" fillId="0" borderId="29" xfId="14457" applyFont="1" applyBorder="1" applyAlignment="1">
      <alignment horizontal="center"/>
    </xf>
    <xf numFmtId="0" fontId="97" fillId="35" borderId="8" xfId="14457" applyFont="1" applyFill="1" applyBorder="1"/>
    <xf numFmtId="164" fontId="98" fillId="0" borderId="0" xfId="1" applyNumberFormat="1" applyFont="1" applyBorder="1"/>
    <xf numFmtId="164" fontId="98" fillId="0" borderId="0" xfId="14458" applyNumberFormat="1" applyFont="1" applyBorder="1"/>
    <xf numFmtId="164" fontId="97" fillId="35" borderId="8" xfId="1" applyNumberFormat="1" applyFont="1" applyFill="1" applyBorder="1"/>
    <xf numFmtId="164" fontId="97" fillId="0" borderId="0" xfId="1" applyNumberFormat="1" applyFont="1" applyBorder="1"/>
    <xf numFmtId="0" fontId="101" fillId="0" borderId="0" xfId="14457" applyFont="1"/>
    <xf numFmtId="0" fontId="97" fillId="0" borderId="0" xfId="14457" applyFont="1" applyBorder="1" applyAlignment="1">
      <alignment vertical="top" wrapText="1"/>
    </xf>
    <xf numFmtId="164" fontId="97" fillId="0" borderId="0" xfId="1" applyNumberFormat="1" applyFont="1" applyBorder="1" applyAlignment="1">
      <alignment horizontal="right"/>
    </xf>
    <xf numFmtId="164" fontId="98" fillId="35" borderId="58" xfId="1" applyNumberFormat="1" applyFont="1" applyFill="1" applyBorder="1"/>
    <xf numFmtId="164" fontId="98" fillId="0" borderId="24" xfId="1" applyNumberFormat="1" applyFont="1" applyFill="1" applyBorder="1"/>
    <xf numFmtId="164" fontId="98" fillId="35" borderId="10" xfId="1" applyNumberFormat="1" applyFont="1" applyFill="1" applyBorder="1"/>
    <xf numFmtId="164" fontId="98" fillId="0" borderId="30" xfId="1" applyNumberFormat="1" applyFont="1" applyFill="1" applyBorder="1"/>
    <xf numFmtId="164" fontId="98" fillId="0" borderId="0" xfId="14457" applyNumberFormat="1" applyFont="1" applyBorder="1"/>
    <xf numFmtId="164" fontId="98" fillId="35" borderId="7" xfId="1" applyNumberFormat="1" applyFont="1" applyFill="1" applyBorder="1"/>
    <xf numFmtId="164" fontId="98" fillId="35" borderId="7" xfId="14458" applyNumberFormat="1" applyFont="1" applyFill="1" applyBorder="1"/>
    <xf numFmtId="164" fontId="98" fillId="0" borderId="30" xfId="1" applyNumberFormat="1" applyFont="1" applyBorder="1"/>
    <xf numFmtId="164" fontId="98" fillId="0" borderId="30" xfId="14457" applyNumberFormat="1" applyFont="1" applyBorder="1"/>
    <xf numFmtId="164" fontId="98" fillId="0" borderId="30" xfId="14458" applyNumberFormat="1" applyFont="1" applyBorder="1"/>
    <xf numFmtId="0" fontId="98" fillId="0" borderId="24" xfId="14457" applyFont="1" applyBorder="1"/>
    <xf numFmtId="164" fontId="98" fillId="0" borderId="24" xfId="1" applyNumberFormat="1" applyFont="1" applyBorder="1"/>
    <xf numFmtId="164" fontId="98" fillId="0" borderId="24" xfId="14458" applyNumberFormat="1" applyFont="1" applyBorder="1"/>
    <xf numFmtId="164" fontId="98" fillId="35" borderId="57" xfId="1" applyNumberFormat="1" applyFont="1" applyFill="1" applyBorder="1"/>
    <xf numFmtId="164" fontId="98" fillId="0" borderId="56" xfId="1" applyNumberFormat="1" applyFont="1" applyBorder="1"/>
    <xf numFmtId="164" fontId="98" fillId="0" borderId="56" xfId="14458" applyNumberFormat="1" applyFont="1" applyBorder="1"/>
    <xf numFmtId="164" fontId="97" fillId="35" borderId="55" xfId="1" applyNumberFormat="1" applyFont="1" applyFill="1" applyBorder="1"/>
    <xf numFmtId="164" fontId="98" fillId="0" borderId="54" xfId="1" applyNumberFormat="1" applyFont="1" applyBorder="1"/>
    <xf numFmtId="164" fontId="98" fillId="0" borderId="54" xfId="14458" applyNumberFormat="1" applyFont="1" applyBorder="1"/>
    <xf numFmtId="0" fontId="101" fillId="0" borderId="54" xfId="14457" applyFont="1" applyBorder="1" applyAlignment="1">
      <alignment vertical="top" wrapText="1"/>
    </xf>
    <xf numFmtId="164" fontId="101" fillId="0" borderId="54" xfId="1" applyNumberFormat="1" applyFont="1" applyBorder="1"/>
    <xf numFmtId="164" fontId="101" fillId="0" borderId="54" xfId="14458" applyNumberFormat="1" applyFont="1" applyBorder="1"/>
    <xf numFmtId="164" fontId="97" fillId="0" borderId="54" xfId="14458" applyNumberFormat="1" applyFont="1" applyBorder="1"/>
    <xf numFmtId="0" fontId="101" fillId="0" borderId="54" xfId="14457" applyFont="1" applyBorder="1"/>
    <xf numFmtId="0" fontId="97" fillId="0" borderId="48" xfId="14457" applyFont="1" applyBorder="1"/>
    <xf numFmtId="0" fontId="97" fillId="0" borderId="49" xfId="14457" applyFont="1" applyBorder="1"/>
    <xf numFmtId="0" fontId="101" fillId="0" borderId="3" xfId="14457" applyFont="1" applyBorder="1"/>
    <xf numFmtId="0" fontId="101" fillId="0" borderId="5" xfId="14457" applyFont="1" applyBorder="1"/>
    <xf numFmtId="0" fontId="71" fillId="0" borderId="2" xfId="14457" applyFont="1" applyBorder="1"/>
    <xf numFmtId="0" fontId="71" fillId="0" borderId="48" xfId="14457" applyFont="1" applyBorder="1"/>
    <xf numFmtId="0" fontId="71" fillId="0" borderId="49" xfId="14457" applyFont="1" applyBorder="1"/>
    <xf numFmtId="0" fontId="98" fillId="0" borderId="5" xfId="14457" applyFont="1" applyBorder="1" applyAlignment="1">
      <alignment horizontal="center" wrapText="1"/>
    </xf>
    <xf numFmtId="0" fontId="98" fillId="0" borderId="5" xfId="14457" applyFont="1" applyBorder="1" applyAlignment="1">
      <alignment horizontal="center"/>
    </xf>
    <xf numFmtId="174" fontId="97" fillId="0" borderId="0" xfId="1" applyNumberFormat="1" applyFont="1" applyBorder="1"/>
    <xf numFmtId="174" fontId="97" fillId="0" borderId="5" xfId="1" applyNumberFormat="1" applyFont="1" applyBorder="1"/>
    <xf numFmtId="164" fontId="98" fillId="0" borderId="0" xfId="14457" applyNumberFormat="1" applyFont="1"/>
    <xf numFmtId="174" fontId="97" fillId="0" borderId="30" xfId="1" applyNumberFormat="1" applyFont="1" applyBorder="1"/>
    <xf numFmtId="174" fontId="97" fillId="0" borderId="24" xfId="1" applyNumberFormat="1" applyFont="1" applyBorder="1"/>
    <xf numFmtId="174" fontId="97" fillId="0" borderId="56" xfId="1" applyNumberFormat="1" applyFont="1" applyBorder="1"/>
    <xf numFmtId="174" fontId="97" fillId="0" borderId="54" xfId="1" applyNumberFormat="1" applyFont="1" applyBorder="1"/>
    <xf numFmtId="0" fontId="109" fillId="0" borderId="0" xfId="40064" applyFont="1" applyFill="1" applyAlignment="1">
      <alignment horizontal="center"/>
    </xf>
    <xf numFmtId="0" fontId="71" fillId="0" borderId="3" xfId="40064" applyFont="1" applyBorder="1"/>
    <xf numFmtId="164" fontId="71" fillId="0" borderId="5" xfId="40065" applyNumberFormat="1" applyFont="1" applyFill="1" applyBorder="1"/>
    <xf numFmtId="0" fontId="71" fillId="0" borderId="6" xfId="40064" applyFont="1" applyBorder="1"/>
    <xf numFmtId="0" fontId="71" fillId="0" borderId="29" xfId="40064" applyFont="1" applyBorder="1"/>
    <xf numFmtId="164" fontId="71" fillId="0" borderId="29" xfId="40065" applyNumberFormat="1" applyFont="1" applyBorder="1"/>
    <xf numFmtId="164" fontId="71" fillId="0" borderId="29" xfId="40065" applyNumberFormat="1" applyFont="1" applyFill="1" applyBorder="1"/>
    <xf numFmtId="164" fontId="71" fillId="0" borderId="11" xfId="40065" applyNumberFormat="1" applyFont="1" applyFill="1" applyBorder="1"/>
    <xf numFmtId="0" fontId="97" fillId="0" borderId="48" xfId="40064" applyFont="1" applyBorder="1"/>
    <xf numFmtId="164" fontId="97" fillId="0" borderId="48" xfId="40065" applyNumberFormat="1" applyFont="1" applyBorder="1"/>
    <xf numFmtId="164" fontId="97" fillId="0" borderId="49" xfId="40065" applyNumberFormat="1" applyFont="1" applyFill="1" applyBorder="1"/>
    <xf numFmtId="0" fontId="97" fillId="0" borderId="3" xfId="40064" applyFont="1" applyBorder="1" applyAlignment="1">
      <alignment vertical="center"/>
    </xf>
    <xf numFmtId="164" fontId="98" fillId="0" borderId="0" xfId="40065" applyNumberFormat="1" applyFont="1" applyBorder="1" applyAlignment="1">
      <alignment horizontal="center" vertical="center" wrapText="1"/>
    </xf>
    <xf numFmtId="164" fontId="98" fillId="0" borderId="29" xfId="40065" applyNumberFormat="1" applyFont="1" applyBorder="1" applyAlignment="1">
      <alignment horizontal="center" vertical="center" wrapText="1"/>
    </xf>
    <xf numFmtId="164" fontId="98" fillId="0" borderId="29" xfId="40065" applyNumberFormat="1" applyFont="1" applyBorder="1" applyAlignment="1">
      <alignment vertical="center" wrapText="1"/>
    </xf>
    <xf numFmtId="164" fontId="98" fillId="0" borderId="0" xfId="40065" applyNumberFormat="1" applyFont="1" applyBorder="1" applyAlignment="1">
      <alignment vertical="center" wrapText="1"/>
    </xf>
    <xf numFmtId="164" fontId="98" fillId="0" borderId="5" xfId="40065" applyNumberFormat="1" applyFont="1" applyFill="1" applyBorder="1" applyAlignment="1">
      <alignment horizontal="center" vertical="center" wrapText="1"/>
    </xf>
    <xf numFmtId="164" fontId="97" fillId="0" borderId="0" xfId="40065" applyNumberFormat="1" applyFont="1" applyFill="1" applyAlignment="1">
      <alignment vertical="center"/>
    </xf>
    <xf numFmtId="0" fontId="97" fillId="0" borderId="0" xfId="40064" applyFont="1" applyAlignment="1">
      <alignment vertical="center"/>
    </xf>
    <xf numFmtId="164" fontId="98" fillId="0" borderId="0" xfId="40065" applyNumberFormat="1" applyFont="1" applyFill="1" applyBorder="1" applyAlignment="1">
      <alignment horizontal="center" vertical="center" wrapText="1"/>
    </xf>
    <xf numFmtId="0" fontId="98" fillId="0" borderId="29" xfId="40064" applyFont="1" applyBorder="1" applyAlignment="1">
      <alignment horizontal="left" vertical="center"/>
    </xf>
    <xf numFmtId="164" fontId="98" fillId="0" borderId="5" xfId="40065" applyNumberFormat="1" applyFont="1" applyBorder="1" applyAlignment="1">
      <alignment horizontal="center" vertical="center" wrapText="1"/>
    </xf>
    <xf numFmtId="0" fontId="98" fillId="0" borderId="0" xfId="40064" applyFont="1" applyBorder="1" applyAlignment="1">
      <alignment horizontal="center"/>
    </xf>
    <xf numFmtId="164" fontId="98" fillId="0" borderId="0" xfId="40065" applyNumberFormat="1" applyFont="1" applyBorder="1" applyAlignment="1">
      <alignment horizontal="center" wrapText="1"/>
    </xf>
    <xf numFmtId="164" fontId="98" fillId="0" borderId="0" xfId="40065" applyNumberFormat="1" applyFont="1" applyFill="1" applyBorder="1" applyAlignment="1">
      <alignment horizontal="center" wrapText="1"/>
    </xf>
    <xf numFmtId="164" fontId="98" fillId="0" borderId="5" xfId="40065" applyNumberFormat="1" applyFont="1" applyFill="1" applyBorder="1" applyAlignment="1">
      <alignment horizontal="center" wrapText="1"/>
    </xf>
    <xf numFmtId="0" fontId="98" fillId="0" borderId="0" xfId="40064" applyFont="1" applyBorder="1"/>
    <xf numFmtId="164" fontId="98" fillId="0" borderId="0" xfId="40065" applyNumberFormat="1" applyFont="1" applyBorder="1"/>
    <xf numFmtId="164" fontId="98" fillId="0" borderId="5" xfId="40065" applyNumberFormat="1" applyFont="1" applyBorder="1"/>
    <xf numFmtId="164" fontId="98" fillId="0" borderId="0" xfId="40065" applyNumberFormat="1" applyFont="1" applyFill="1"/>
    <xf numFmtId="164" fontId="97" fillId="0" borderId="0" xfId="40065" applyNumberFormat="1" applyFont="1" applyBorder="1" applyAlignment="1">
      <alignment wrapText="1"/>
    </xf>
    <xf numFmtId="164" fontId="97" fillId="0" borderId="0" xfId="40065" applyNumberFormat="1" applyFont="1" applyBorder="1"/>
    <xf numFmtId="164" fontId="97" fillId="0" borderId="5" xfId="40065" applyNumberFormat="1" applyFont="1" applyBorder="1"/>
    <xf numFmtId="0" fontId="97" fillId="0" borderId="0" xfId="40064" applyFont="1" applyBorder="1"/>
    <xf numFmtId="0" fontId="98" fillId="0" borderId="0" xfId="40064" applyFont="1" applyBorder="1" applyAlignment="1">
      <alignment horizontal="left" vertical="top"/>
    </xf>
    <xf numFmtId="164" fontId="97" fillId="0" borderId="51" xfId="40064" applyNumberFormat="1" applyFont="1" applyBorder="1"/>
    <xf numFmtId="164" fontId="98" fillId="0" borderId="30" xfId="40065" applyNumberFormat="1" applyFont="1" applyBorder="1"/>
    <xf numFmtId="164" fontId="98" fillId="0" borderId="51" xfId="40064" applyNumberFormat="1" applyFont="1" applyBorder="1"/>
    <xf numFmtId="164" fontId="98" fillId="0" borderId="5" xfId="40065" applyNumberFormat="1" applyFont="1" applyFill="1" applyBorder="1"/>
    <xf numFmtId="0" fontId="98" fillId="0" borderId="30" xfId="40064" applyFont="1" applyBorder="1"/>
    <xf numFmtId="0" fontId="98" fillId="0" borderId="21" xfId="40064" applyFont="1" applyBorder="1"/>
    <xf numFmtId="164" fontId="98" fillId="0" borderId="21" xfId="40065" applyNumberFormat="1" applyFont="1" applyBorder="1"/>
    <xf numFmtId="164" fontId="98" fillId="0" borderId="21" xfId="40065" applyNumberFormat="1" applyFont="1" applyFill="1" applyBorder="1"/>
    <xf numFmtId="0" fontId="98" fillId="0" borderId="24" xfId="40064" applyFont="1" applyBorder="1"/>
    <xf numFmtId="164" fontId="97" fillId="0" borderId="24" xfId="40065" applyNumberFormat="1" applyFont="1" applyBorder="1"/>
    <xf numFmtId="164" fontId="97" fillId="0" borderId="24" xfId="40065" applyNumberFormat="1" applyFont="1" applyFill="1" applyBorder="1"/>
    <xf numFmtId="164" fontId="98" fillId="0" borderId="24" xfId="40065" applyNumberFormat="1" applyFont="1" applyBorder="1"/>
    <xf numFmtId="0" fontId="98" fillId="0" borderId="61" xfId="40064" applyFont="1" applyBorder="1"/>
    <xf numFmtId="164" fontId="97" fillId="0" borderId="61" xfId="40065" applyNumberFormat="1" applyFont="1" applyBorder="1" applyAlignment="1">
      <alignment wrapText="1"/>
    </xf>
    <xf numFmtId="164" fontId="97" fillId="0" borderId="61" xfId="40065" applyNumberFormat="1" applyFont="1" applyBorder="1"/>
    <xf numFmtId="164" fontId="97" fillId="0" borderId="61" xfId="40065" applyNumberFormat="1" applyFont="1" applyFill="1" applyBorder="1"/>
    <xf numFmtId="0" fontId="97" fillId="0" borderId="54" xfId="40064" applyFont="1" applyBorder="1"/>
    <xf numFmtId="164" fontId="97" fillId="0" borderId="54" xfId="40065" applyNumberFormat="1" applyFont="1" applyBorder="1"/>
    <xf numFmtId="0" fontId="98" fillId="0" borderId="56" xfId="40064" applyFont="1" applyBorder="1" applyAlignment="1">
      <alignment horizontal="left" vertical="top"/>
    </xf>
    <xf numFmtId="164" fontId="97" fillId="0" borderId="56" xfId="40065" applyNumberFormat="1" applyFont="1" applyBorder="1"/>
    <xf numFmtId="164" fontId="98" fillId="0" borderId="61" xfId="40065" applyNumberFormat="1" applyFont="1" applyBorder="1"/>
    <xf numFmtId="164" fontId="98" fillId="0" borderId="61" xfId="40065" applyNumberFormat="1" applyFont="1" applyFill="1" applyBorder="1"/>
    <xf numFmtId="164" fontId="98" fillId="0" borderId="54" xfId="40065" applyNumberFormat="1" applyFont="1" applyBorder="1"/>
    <xf numFmtId="164" fontId="98" fillId="0" borderId="54" xfId="40065" applyNumberFormat="1" applyFont="1" applyFill="1" applyBorder="1"/>
    <xf numFmtId="164" fontId="98" fillId="0" borderId="56" xfId="40065" applyNumberFormat="1" applyFont="1" applyBorder="1"/>
    <xf numFmtId="164" fontId="98" fillId="0" borderId="56" xfId="40065" applyNumberFormat="1" applyFont="1" applyFill="1" applyBorder="1"/>
    <xf numFmtId="0" fontId="14" fillId="0" borderId="0" xfId="40064" applyFont="1" applyFill="1" applyAlignment="1">
      <alignment horizontal="center"/>
    </xf>
    <xf numFmtId="0" fontId="38" fillId="0" borderId="0" xfId="40064" applyFont="1" applyFill="1" applyAlignment="1">
      <alignment horizontal="center"/>
    </xf>
    <xf numFmtId="0" fontId="98" fillId="0" borderId="48" xfId="40064" applyFont="1" applyBorder="1"/>
    <xf numFmtId="0" fontId="97" fillId="0" borderId="6" xfId="40064" applyFont="1" applyBorder="1"/>
    <xf numFmtId="0" fontId="97" fillId="0" borderId="29" xfId="40064" applyFont="1" applyBorder="1"/>
    <xf numFmtId="164" fontId="97" fillId="0" borderId="29" xfId="40065" applyNumberFormat="1" applyFont="1" applyBorder="1"/>
    <xf numFmtId="164" fontId="97" fillId="0" borderId="29" xfId="40065" applyNumberFormat="1" applyFont="1" applyFill="1" applyBorder="1"/>
    <xf numFmtId="164" fontId="97" fillId="0" borderId="11" xfId="40065" applyNumberFormat="1" applyFont="1" applyFill="1" applyBorder="1"/>
    <xf numFmtId="164" fontId="97" fillId="0" borderId="0" xfId="40065" applyNumberFormat="1" applyFont="1"/>
    <xf numFmtId="0" fontId="98" fillId="0" borderId="0" xfId="40064" applyFont="1" applyBorder="1" applyAlignment="1">
      <alignment horizontal="left" vertical="center"/>
    </xf>
    <xf numFmtId="0" fontId="96" fillId="0" borderId="0" xfId="0" applyFont="1" applyFill="1" applyBorder="1" applyAlignment="1">
      <alignment horizontal="center" vertical="top"/>
    </xf>
    <xf numFmtId="0" fontId="98" fillId="0" borderId="0" xfId="14457" applyFont="1" applyBorder="1" applyAlignment="1">
      <alignment horizontal="center" wrapText="1"/>
    </xf>
    <xf numFmtId="0" fontId="93" fillId="0" borderId="0" xfId="0" applyFont="1" applyFill="1" applyBorder="1" applyAlignment="1">
      <alignment horizontal="center" vertical="top"/>
    </xf>
    <xf numFmtId="0" fontId="89" fillId="0" borderId="0" xfId="0" applyFont="1" applyFill="1" applyBorder="1" applyAlignment="1">
      <alignment vertical="top" wrapText="1"/>
    </xf>
    <xf numFmtId="0" fontId="16" fillId="0" borderId="0" xfId="40091" applyFont="1" applyFill="1" applyAlignment="1">
      <alignment horizontal="center"/>
    </xf>
    <xf numFmtId="0" fontId="97" fillId="0" borderId="0" xfId="40091" applyFont="1" applyFill="1"/>
    <xf numFmtId="0" fontId="98" fillId="0" borderId="0" xfId="40091" applyFont="1" applyFill="1"/>
    <xf numFmtId="164" fontId="97" fillId="0" borderId="0" xfId="40092" applyNumberFormat="1" applyFont="1" applyFill="1"/>
    <xf numFmtId="0" fontId="98" fillId="0" borderId="0" xfId="40091" applyFont="1" applyFill="1" applyBorder="1"/>
    <xf numFmtId="164" fontId="98" fillId="0" borderId="0" xfId="40092" applyNumberFormat="1" applyFont="1" applyFill="1" applyBorder="1" applyAlignment="1">
      <alignment wrapText="1"/>
    </xf>
    <xf numFmtId="0" fontId="98" fillId="35" borderId="4" xfId="40092" quotePrefix="1" applyNumberFormat="1" applyFont="1" applyFill="1" applyBorder="1" applyAlignment="1">
      <alignment horizontal="center"/>
    </xf>
    <xf numFmtId="164" fontId="98" fillId="0" borderId="0" xfId="40092" quotePrefix="1" applyNumberFormat="1" applyFont="1" applyFill="1" applyBorder="1" applyAlignment="1">
      <alignment horizontal="center"/>
    </xf>
    <xf numFmtId="0" fontId="98" fillId="0" borderId="0" xfId="40092" quotePrefix="1" applyNumberFormat="1" applyFont="1" applyFill="1" applyBorder="1" applyAlignment="1">
      <alignment horizontal="center"/>
    </xf>
    <xf numFmtId="164" fontId="98" fillId="35" borderId="8" xfId="40092" quotePrefix="1" applyNumberFormat="1" applyFont="1" applyFill="1" applyBorder="1" applyAlignment="1">
      <alignment horizontal="center"/>
    </xf>
    <xf numFmtId="0" fontId="98" fillId="0" borderId="29" xfId="40091" applyFont="1" applyFill="1" applyBorder="1"/>
    <xf numFmtId="164" fontId="98" fillId="35" borderId="7" xfId="40092" quotePrefix="1" applyNumberFormat="1" applyFont="1" applyFill="1" applyBorder="1" applyAlignment="1">
      <alignment horizontal="center"/>
    </xf>
    <xf numFmtId="164" fontId="98" fillId="0" borderId="29" xfId="40092" quotePrefix="1" applyNumberFormat="1" applyFont="1" applyFill="1" applyBorder="1" applyAlignment="1">
      <alignment horizontal="center"/>
    </xf>
    <xf numFmtId="0" fontId="98" fillId="0" borderId="0" xfId="40091" applyFont="1" applyFill="1" applyBorder="1" applyAlignment="1">
      <alignment vertical="center"/>
    </xf>
    <xf numFmtId="164" fontId="98" fillId="35" borderId="8" xfId="40092" applyNumberFormat="1" applyFont="1" applyFill="1" applyBorder="1"/>
    <xf numFmtId="164" fontId="98" fillId="0" borderId="0" xfId="40092" applyNumberFormat="1" applyFont="1" applyFill="1" applyBorder="1"/>
    <xf numFmtId="0" fontId="101" fillId="0" borderId="0" xfId="40091" applyFont="1" applyFill="1"/>
    <xf numFmtId="0" fontId="101" fillId="0" borderId="54" xfId="40091" applyFont="1" applyFill="1" applyBorder="1"/>
    <xf numFmtId="164" fontId="101" fillId="35" borderId="55" xfId="40092" applyNumberFormat="1" applyFont="1" applyFill="1" applyBorder="1"/>
    <xf numFmtId="164" fontId="101" fillId="0" borderId="54" xfId="40092" applyNumberFormat="1" applyFont="1" applyFill="1" applyBorder="1"/>
    <xf numFmtId="0" fontId="101" fillId="0" borderId="0" xfId="40091" applyFont="1" applyFill="1" applyBorder="1"/>
    <xf numFmtId="164" fontId="101" fillId="35" borderId="8" xfId="40092" applyNumberFormat="1" applyFont="1" applyFill="1" applyBorder="1"/>
    <xf numFmtId="164" fontId="101" fillId="0" borderId="0" xfId="40092" applyNumberFormat="1" applyFont="1" applyFill="1" applyBorder="1"/>
    <xf numFmtId="0" fontId="105" fillId="0" borderId="24" xfId="40091" applyFont="1" applyFill="1" applyBorder="1" applyAlignment="1">
      <alignment vertical="center"/>
    </xf>
    <xf numFmtId="164" fontId="105" fillId="35" borderId="58" xfId="40092" applyNumberFormat="1" applyFont="1" applyFill="1" applyBorder="1"/>
    <xf numFmtId="164" fontId="105" fillId="0" borderId="24" xfId="40092" applyNumberFormat="1" applyFont="1" applyFill="1" applyBorder="1"/>
    <xf numFmtId="0" fontId="105" fillId="0" borderId="0" xfId="40091" applyFont="1" applyFill="1"/>
    <xf numFmtId="0" fontId="105" fillId="0" borderId="0" xfId="40091" applyFont="1" applyFill="1" applyBorder="1"/>
    <xf numFmtId="164" fontId="105" fillId="35" borderId="8" xfId="40092" applyNumberFormat="1" applyFont="1" applyFill="1" applyBorder="1"/>
    <xf numFmtId="164" fontId="105" fillId="0" borderId="0" xfId="40092" applyNumberFormat="1" applyFont="1" applyFill="1" applyBorder="1"/>
    <xf numFmtId="173" fontId="105" fillId="0" borderId="0" xfId="40093" applyNumberFormat="1" applyFont="1" applyFill="1"/>
    <xf numFmtId="9" fontId="105" fillId="0" borderId="0" xfId="40093" applyFont="1" applyFill="1"/>
    <xf numFmtId="164" fontId="97" fillId="0" borderId="0" xfId="40092" applyNumberFormat="1" applyFont="1" applyFill="1" applyBorder="1"/>
    <xf numFmtId="0" fontId="97" fillId="0" borderId="0" xfId="40091" applyFont="1" applyFill="1" applyBorder="1"/>
    <xf numFmtId="164" fontId="97" fillId="35" borderId="8" xfId="40092" applyNumberFormat="1" applyFont="1" applyFill="1" applyBorder="1"/>
    <xf numFmtId="0" fontId="97" fillId="0" borderId="54" xfId="40091" applyFont="1" applyFill="1" applyBorder="1"/>
    <xf numFmtId="164" fontId="97" fillId="35" borderId="55" xfId="40092" applyNumberFormat="1" applyFont="1" applyFill="1" applyBorder="1"/>
    <xf numFmtId="164" fontId="97" fillId="0" borderId="54" xfId="40092" applyNumberFormat="1" applyFont="1" applyFill="1" applyBorder="1"/>
    <xf numFmtId="0" fontId="98" fillId="0" borderId="24" xfId="40091" applyFont="1" applyFill="1" applyBorder="1" applyAlignment="1">
      <alignment vertical="center"/>
    </xf>
    <xf numFmtId="164" fontId="98" fillId="35" borderId="58" xfId="40092" applyNumberFormat="1" applyFont="1" applyFill="1" applyBorder="1"/>
    <xf numFmtId="164" fontId="98" fillId="0" borderId="24" xfId="40092" applyNumberFormat="1" applyFont="1" applyFill="1" applyBorder="1"/>
    <xf numFmtId="0" fontId="97" fillId="0" borderId="63" xfId="40091" applyFont="1" applyFill="1" applyBorder="1"/>
    <xf numFmtId="164" fontId="97" fillId="35" borderId="64" xfId="40092" applyNumberFormat="1" applyFont="1" applyFill="1" applyBorder="1"/>
    <xf numFmtId="164" fontId="97" fillId="0" borderId="63" xfId="40092" applyNumberFormat="1" applyFont="1" applyFill="1" applyBorder="1"/>
    <xf numFmtId="0" fontId="98" fillId="0" borderId="30" xfId="40091" applyFont="1" applyFill="1" applyBorder="1"/>
    <xf numFmtId="164" fontId="98" fillId="35" borderId="10" xfId="40092" applyNumberFormat="1" applyFont="1" applyFill="1" applyBorder="1"/>
    <xf numFmtId="164" fontId="98" fillId="0" borderId="30" xfId="40092" applyNumberFormat="1" applyFont="1" applyFill="1" applyBorder="1"/>
    <xf numFmtId="164" fontId="110" fillId="35" borderId="8" xfId="40092" applyNumberFormat="1" applyFont="1" applyFill="1" applyBorder="1"/>
    <xf numFmtId="164" fontId="110" fillId="0" borderId="0" xfId="40092" applyNumberFormat="1" applyFont="1" applyFill="1" applyBorder="1"/>
    <xf numFmtId="39" fontId="97" fillId="0" borderId="0" xfId="40064" applyNumberFormat="1" applyFont="1" applyFill="1" applyBorder="1"/>
    <xf numFmtId="39" fontId="97" fillId="0" borderId="30" xfId="40064" applyNumberFormat="1" applyFont="1" applyFill="1" applyBorder="1"/>
    <xf numFmtId="0" fontId="97" fillId="0" borderId="30" xfId="40091" applyFont="1" applyFill="1" applyBorder="1"/>
    <xf numFmtId="164" fontId="101" fillId="35" borderId="10" xfId="1" applyNumberFormat="1" applyFont="1" applyFill="1" applyBorder="1"/>
    <xf numFmtId="164" fontId="110" fillId="0" borderId="30" xfId="40092" applyNumberFormat="1" applyFont="1" applyFill="1" applyBorder="1"/>
    <xf numFmtId="164" fontId="101" fillId="0" borderId="30" xfId="1" applyNumberFormat="1" applyFont="1" applyFill="1" applyBorder="1"/>
    <xf numFmtId="164" fontId="110" fillId="35" borderId="7" xfId="40092" applyNumberFormat="1" applyFont="1" applyFill="1" applyBorder="1"/>
    <xf numFmtId="164" fontId="101" fillId="89" borderId="0" xfId="40092" applyNumberFormat="1" applyFont="1" applyFill="1" applyBorder="1"/>
    <xf numFmtId="0" fontId="101" fillId="0" borderId="0" xfId="0" applyFont="1"/>
    <xf numFmtId="164" fontId="97" fillId="35" borderId="0" xfId="40092" applyNumberFormat="1" applyFont="1" applyFill="1" applyBorder="1"/>
    <xf numFmtId="164" fontId="97" fillId="88" borderId="0" xfId="40092" applyNumberFormat="1" applyFont="1" applyFill="1" applyBorder="1"/>
    <xf numFmtId="0" fontId="97" fillId="0" borderId="2" xfId="40091" applyFont="1" applyFill="1" applyBorder="1"/>
    <xf numFmtId="0" fontId="98" fillId="0" borderId="48" xfId="40091" applyFont="1" applyFill="1" applyBorder="1"/>
    <xf numFmtId="164" fontId="97" fillId="0" borderId="48" xfId="40092" applyNumberFormat="1" applyFont="1" applyFill="1" applyBorder="1"/>
    <xf numFmtId="0" fontId="97" fillId="0" borderId="49" xfId="40091" applyFont="1" applyFill="1" applyBorder="1"/>
    <xf numFmtId="0" fontId="97" fillId="0" borderId="3" xfId="40091" applyFont="1" applyFill="1" applyBorder="1"/>
    <xf numFmtId="0" fontId="97" fillId="0" borderId="5" xfId="40091" applyFont="1" applyFill="1" applyBorder="1"/>
    <xf numFmtId="0" fontId="98" fillId="0" borderId="3" xfId="40091" applyFont="1" applyFill="1" applyBorder="1"/>
    <xf numFmtId="0" fontId="98" fillId="0" borderId="5" xfId="40091" applyFont="1" applyFill="1" applyBorder="1"/>
    <xf numFmtId="0" fontId="101" fillId="0" borderId="3" xfId="40091" applyFont="1" applyFill="1" applyBorder="1"/>
    <xf numFmtId="0" fontId="101" fillId="0" borderId="5" xfId="40091" applyFont="1" applyFill="1" applyBorder="1"/>
    <xf numFmtId="164" fontId="101" fillId="0" borderId="5" xfId="40092" applyNumberFormat="1" applyFont="1" applyFill="1" applyBorder="1"/>
    <xf numFmtId="0" fontId="105" fillId="0" borderId="3" xfId="40091" applyFont="1" applyFill="1" applyBorder="1"/>
    <xf numFmtId="0" fontId="105" fillId="0" borderId="5" xfId="40091" applyFont="1" applyFill="1" applyBorder="1"/>
    <xf numFmtId="0" fontId="98" fillId="0" borderId="6" xfId="40091" applyFont="1" applyFill="1" applyBorder="1"/>
    <xf numFmtId="0" fontId="101" fillId="0" borderId="29" xfId="2190" applyFont="1" applyBorder="1"/>
    <xf numFmtId="164" fontId="98" fillId="0" borderId="29" xfId="40092" applyNumberFormat="1" applyFont="1" applyFill="1" applyBorder="1"/>
    <xf numFmtId="0" fontId="98" fillId="0" borderId="11" xfId="40091" applyFont="1" applyFill="1" applyBorder="1"/>
    <xf numFmtId="164" fontId="14" fillId="0" borderId="0" xfId="40083" applyNumberFormat="1" applyFont="1" applyFill="1" applyBorder="1" applyAlignment="1">
      <alignment horizontal="center"/>
    </xf>
    <xf numFmtId="0" fontId="0" fillId="0" borderId="0" xfId="0" applyAlignment="1">
      <alignment wrapText="1"/>
    </xf>
    <xf numFmtId="0" fontId="0" fillId="0" borderId="0" xfId="0" applyFill="1" applyAlignment="1">
      <alignment wrapText="1"/>
    </xf>
    <xf numFmtId="0" fontId="101" fillId="0" borderId="0" xfId="20918" applyFont="1" applyFill="1"/>
    <xf numFmtId="164" fontId="105" fillId="0" borderId="0" xfId="40083" applyNumberFormat="1" applyFont="1" applyFill="1" applyBorder="1"/>
    <xf numFmtId="164" fontId="101" fillId="0" borderId="0" xfId="40083" applyNumberFormat="1" applyFont="1" applyFill="1" applyBorder="1"/>
    <xf numFmtId="164" fontId="101" fillId="0" borderId="0" xfId="1" applyNumberFormat="1" applyFont="1" applyFill="1"/>
    <xf numFmtId="164" fontId="101" fillId="0" borderId="0" xfId="1" applyNumberFormat="1" applyFont="1" applyFill="1" applyBorder="1"/>
    <xf numFmtId="43" fontId="101" fillId="0" borderId="0" xfId="1" applyFont="1" applyFill="1" applyBorder="1"/>
    <xf numFmtId="164" fontId="105" fillId="0" borderId="0" xfId="40083" applyNumberFormat="1" applyFont="1" applyFill="1" applyBorder="1" applyAlignment="1">
      <alignment horizontal="center"/>
    </xf>
    <xf numFmtId="0" fontId="105" fillId="35" borderId="4" xfId="40083" applyNumberFormat="1" applyFont="1" applyFill="1" applyBorder="1" applyAlignment="1">
      <alignment horizontal="center"/>
    </xf>
    <xf numFmtId="0" fontId="105" fillId="0" borderId="0" xfId="40083" applyNumberFormat="1" applyFont="1" applyFill="1" applyBorder="1" applyAlignment="1">
      <alignment horizontal="center"/>
    </xf>
    <xf numFmtId="164" fontId="105" fillId="0" borderId="21" xfId="40083" applyNumberFormat="1" applyFont="1" applyFill="1" applyBorder="1"/>
    <xf numFmtId="164" fontId="105" fillId="35" borderId="9" xfId="40083" applyNumberFormat="1" applyFont="1" applyFill="1" applyBorder="1" applyAlignment="1">
      <alignment horizontal="center"/>
    </xf>
    <xf numFmtId="164" fontId="105" fillId="0" borderId="21" xfId="40083" applyNumberFormat="1" applyFont="1" applyFill="1" applyBorder="1" applyAlignment="1">
      <alignment horizontal="center"/>
    </xf>
    <xf numFmtId="164" fontId="105" fillId="35" borderId="8" xfId="40083" applyNumberFormat="1" applyFont="1" applyFill="1" applyBorder="1" applyAlignment="1">
      <alignment horizontal="center"/>
    </xf>
    <xf numFmtId="164" fontId="101" fillId="35" borderId="8" xfId="40084" applyNumberFormat="1" applyFont="1" applyFill="1" applyBorder="1" applyAlignment="1">
      <alignment horizontal="right"/>
    </xf>
    <xf numFmtId="164" fontId="101" fillId="0" borderId="0" xfId="40084" applyNumberFormat="1" applyFont="1" applyFill="1" applyBorder="1" applyAlignment="1">
      <alignment horizontal="right"/>
    </xf>
    <xf numFmtId="164" fontId="101" fillId="35" borderId="9" xfId="40084" applyNumberFormat="1" applyFont="1" applyFill="1" applyBorder="1" applyAlignment="1">
      <alignment horizontal="right"/>
    </xf>
    <xf numFmtId="164" fontId="101" fillId="0" borderId="21" xfId="40084" applyNumberFormat="1" applyFont="1" applyFill="1" applyBorder="1" applyAlignment="1">
      <alignment horizontal="right"/>
    </xf>
    <xf numFmtId="0" fontId="105" fillId="0" borderId="0" xfId="20918" applyFont="1" applyFill="1"/>
    <xf numFmtId="164" fontId="105" fillId="35" borderId="8" xfId="40084" applyNumberFormat="1" applyFont="1" applyFill="1" applyBorder="1" applyAlignment="1">
      <alignment horizontal="right"/>
    </xf>
    <xf numFmtId="164" fontId="105" fillId="0" borderId="0" xfId="40084" applyNumberFormat="1" applyFont="1" applyFill="1" applyBorder="1" applyAlignment="1">
      <alignment horizontal="right"/>
    </xf>
    <xf numFmtId="164" fontId="105" fillId="0" borderId="0" xfId="1" applyNumberFormat="1" applyFont="1" applyFill="1"/>
    <xf numFmtId="164" fontId="105" fillId="0" borderId="0" xfId="1" applyNumberFormat="1" applyFont="1" applyFill="1" applyBorder="1"/>
    <xf numFmtId="164" fontId="105" fillId="35" borderId="10" xfId="40084" applyNumberFormat="1" applyFont="1" applyFill="1" applyBorder="1" applyAlignment="1">
      <alignment horizontal="right"/>
    </xf>
    <xf numFmtId="164" fontId="105" fillId="0" borderId="30" xfId="40084" applyNumberFormat="1" applyFont="1" applyFill="1" applyBorder="1" applyAlignment="1">
      <alignment horizontal="right"/>
    </xf>
    <xf numFmtId="164" fontId="101" fillId="0" borderId="0" xfId="1" applyNumberFormat="1" applyFont="1" applyFill="1" applyBorder="1" applyAlignment="1">
      <alignment horizontal="right"/>
    </xf>
    <xf numFmtId="43" fontId="101" fillId="0" borderId="0" xfId="1" applyFont="1" applyFill="1"/>
    <xf numFmtId="43" fontId="105" fillId="0" borderId="0" xfId="1" applyFont="1" applyFill="1" applyBorder="1"/>
    <xf numFmtId="164" fontId="105" fillId="35" borderId="7" xfId="40084" applyNumberFormat="1" applyFont="1" applyFill="1" applyBorder="1" applyAlignment="1">
      <alignment horizontal="right"/>
    </xf>
    <xf numFmtId="164" fontId="101" fillId="0" borderId="0" xfId="40084" applyNumberFormat="1" applyFont="1" applyFill="1" applyBorder="1"/>
    <xf numFmtId="164" fontId="105" fillId="0" borderId="0" xfId="40084" applyNumberFormat="1" applyFont="1" applyFill="1" applyBorder="1"/>
    <xf numFmtId="0" fontId="101" fillId="0" borderId="2" xfId="20918" applyFont="1" applyFill="1" applyBorder="1"/>
    <xf numFmtId="164" fontId="105" fillId="0" borderId="48" xfId="40083" applyNumberFormat="1" applyFont="1" applyFill="1" applyBorder="1"/>
    <xf numFmtId="164" fontId="101" fillId="0" borderId="48" xfId="40083" applyNumberFormat="1" applyFont="1" applyFill="1" applyBorder="1"/>
    <xf numFmtId="164" fontId="101" fillId="0" borderId="49" xfId="40083" applyNumberFormat="1" applyFont="1" applyFill="1" applyBorder="1"/>
    <xf numFmtId="0" fontId="101" fillId="0" borderId="3" xfId="20918" applyFont="1" applyFill="1" applyBorder="1"/>
    <xf numFmtId="164" fontId="105" fillId="0" borderId="5" xfId="40083" applyNumberFormat="1" applyFont="1" applyFill="1" applyBorder="1" applyAlignment="1">
      <alignment horizontal="center"/>
    </xf>
    <xf numFmtId="0" fontId="105" fillId="0" borderId="5" xfId="40083" applyNumberFormat="1" applyFont="1" applyFill="1" applyBorder="1" applyAlignment="1">
      <alignment horizontal="center"/>
    </xf>
    <xf numFmtId="164" fontId="101" fillId="0" borderId="5" xfId="40084" applyNumberFormat="1" applyFont="1" applyFill="1" applyBorder="1" applyAlignment="1">
      <alignment horizontal="right"/>
    </xf>
    <xf numFmtId="0" fontId="105" fillId="0" borderId="3" xfId="20918" applyFont="1" applyFill="1" applyBorder="1"/>
    <xf numFmtId="164" fontId="105" fillId="0" borderId="5" xfId="40084" applyNumberFormat="1" applyFont="1" applyFill="1" applyBorder="1" applyAlignment="1">
      <alignment horizontal="right"/>
    </xf>
    <xf numFmtId="164" fontId="101" fillId="0" borderId="3" xfId="40083" applyNumberFormat="1" applyFont="1" applyFill="1" applyBorder="1"/>
    <xf numFmtId="164" fontId="105" fillId="0" borderId="3" xfId="40083" applyNumberFormat="1" applyFont="1" applyFill="1" applyBorder="1"/>
    <xf numFmtId="164" fontId="101" fillId="0" borderId="5" xfId="1" applyNumberFormat="1" applyFont="1" applyFill="1" applyBorder="1" applyAlignment="1">
      <alignment horizontal="right"/>
    </xf>
    <xf numFmtId="164" fontId="101" fillId="0" borderId="5" xfId="40084" applyNumberFormat="1" applyFont="1" applyFill="1" applyBorder="1"/>
    <xf numFmtId="164" fontId="101" fillId="0" borderId="5" xfId="40083" applyNumberFormat="1" applyFont="1" applyFill="1" applyBorder="1"/>
    <xf numFmtId="0" fontId="101" fillId="0" borderId="0" xfId="20918" applyFont="1" applyFill="1" applyBorder="1"/>
    <xf numFmtId="0" fontId="101" fillId="0" borderId="5" xfId="20918" applyFont="1" applyFill="1" applyBorder="1"/>
    <xf numFmtId="0" fontId="101" fillId="0" borderId="6" xfId="20918" applyFont="1" applyFill="1" applyBorder="1"/>
    <xf numFmtId="0" fontId="101" fillId="0" borderId="29" xfId="20918" applyFont="1" applyFill="1" applyBorder="1"/>
    <xf numFmtId="0" fontId="101" fillId="0" borderId="11" xfId="20918" applyFont="1" applyFill="1" applyBorder="1"/>
    <xf numFmtId="164" fontId="105" fillId="0" borderId="30" xfId="40083" applyNumberFormat="1" applyFont="1" applyFill="1" applyBorder="1"/>
    <xf numFmtId="164" fontId="105" fillId="0" borderId="29" xfId="40084" applyNumberFormat="1" applyFont="1" applyFill="1" applyBorder="1" applyAlignment="1">
      <alignment horizontal="right"/>
    </xf>
    <xf numFmtId="164" fontId="101" fillId="0" borderId="21" xfId="40083" applyNumberFormat="1" applyFont="1" applyFill="1" applyBorder="1"/>
    <xf numFmtId="164" fontId="101" fillId="0" borderId="54" xfId="40083" applyNumberFormat="1" applyFont="1" applyFill="1" applyBorder="1"/>
    <xf numFmtId="164" fontId="101" fillId="35" borderId="55" xfId="40084" applyNumberFormat="1" applyFont="1" applyFill="1" applyBorder="1" applyAlignment="1">
      <alignment horizontal="right"/>
    </xf>
    <xf numFmtId="164" fontId="101" fillId="0" borderId="54" xfId="40084" applyNumberFormat="1" applyFont="1" applyFill="1" applyBorder="1" applyAlignment="1">
      <alignment horizontal="right"/>
    </xf>
    <xf numFmtId="164" fontId="101" fillId="0" borderId="65" xfId="40084" applyNumberFormat="1" applyFont="1" applyFill="1" applyBorder="1" applyAlignment="1">
      <alignment horizontal="right"/>
    </xf>
    <xf numFmtId="164" fontId="105" fillId="35" borderId="55" xfId="40084" applyNumberFormat="1" applyFont="1" applyFill="1" applyBorder="1" applyAlignment="1">
      <alignment horizontal="right"/>
    </xf>
    <xf numFmtId="164" fontId="105" fillId="0" borderId="54" xfId="40084" applyNumberFormat="1" applyFont="1" applyFill="1" applyBorder="1" applyAlignment="1">
      <alignment horizontal="right"/>
    </xf>
    <xf numFmtId="164" fontId="105" fillId="0" borderId="54" xfId="40083" applyNumberFormat="1" applyFont="1" applyFill="1" applyBorder="1"/>
    <xf numFmtId="164" fontId="101" fillId="0" borderId="63" xfId="40083" applyNumberFormat="1" applyFont="1" applyFill="1" applyBorder="1"/>
    <xf numFmtId="164" fontId="101" fillId="35" borderId="64" xfId="40084" applyNumberFormat="1" applyFont="1" applyFill="1" applyBorder="1" applyAlignment="1">
      <alignment horizontal="right"/>
    </xf>
    <xf numFmtId="164" fontId="101" fillId="0" borderId="63" xfId="40084" applyNumberFormat="1" applyFont="1" applyFill="1" applyBorder="1" applyAlignment="1">
      <alignment horizontal="right"/>
    </xf>
    <xf numFmtId="164" fontId="105" fillId="0" borderId="61" xfId="40084" applyNumberFormat="1" applyFont="1" applyFill="1" applyBorder="1" applyAlignment="1">
      <alignment horizontal="right"/>
    </xf>
    <xf numFmtId="0" fontId="101" fillId="0" borderId="0" xfId="0" applyFont="1" applyFill="1"/>
    <xf numFmtId="0" fontId="105" fillId="0" borderId="0" xfId="0" applyFont="1" applyFill="1" applyAlignment="1">
      <alignment horizontal="center"/>
    </xf>
    <xf numFmtId="0" fontId="105" fillId="0" borderId="0" xfId="0" applyFont="1" applyAlignment="1">
      <alignment horizontal="center"/>
    </xf>
    <xf numFmtId="0" fontId="105" fillId="35" borderId="21" xfId="0" applyFont="1" applyFill="1" applyBorder="1" applyAlignment="1">
      <alignment horizontal="center"/>
    </xf>
    <xf numFmtId="0" fontId="105" fillId="0" borderId="0" xfId="0" applyFont="1" applyBorder="1" applyAlignment="1">
      <alignment horizontal="center"/>
    </xf>
    <xf numFmtId="0" fontId="98" fillId="35" borderId="21" xfId="0" applyFont="1" applyFill="1" applyBorder="1" applyAlignment="1">
      <alignment horizontal="center"/>
    </xf>
    <xf numFmtId="0" fontId="98" fillId="0" borderId="21" xfId="0" applyFont="1" applyBorder="1" applyAlignment="1">
      <alignment horizontal="center"/>
    </xf>
    <xf numFmtId="0" fontId="98" fillId="35" borderId="0" xfId="0" applyFont="1" applyFill="1" applyAlignment="1">
      <alignment horizontal="center"/>
    </xf>
    <xf numFmtId="37" fontId="101" fillId="35" borderId="0" xfId="0" applyNumberFormat="1" applyFont="1" applyFill="1" applyBorder="1"/>
    <xf numFmtId="164" fontId="101" fillId="35" borderId="0" xfId="1" applyNumberFormat="1" applyFont="1" applyFill="1" applyBorder="1" applyAlignment="1">
      <alignment horizontal="right"/>
    </xf>
    <xf numFmtId="164" fontId="101" fillId="0" borderId="0" xfId="1" applyNumberFormat="1" applyFont="1"/>
    <xf numFmtId="164" fontId="101" fillId="0" borderId="0" xfId="0" applyNumberFormat="1" applyFont="1"/>
    <xf numFmtId="43" fontId="101" fillId="35" borderId="0" xfId="1" applyFont="1" applyFill="1" applyBorder="1" applyAlignment="1">
      <alignment horizontal="right" vertical="top" wrapText="1"/>
    </xf>
    <xf numFmtId="164" fontId="101" fillId="35" borderId="0" xfId="1" applyNumberFormat="1" applyFont="1" applyFill="1" applyBorder="1" applyAlignment="1">
      <alignment horizontal="right" wrapText="1"/>
    </xf>
    <xf numFmtId="43" fontId="101" fillId="0" borderId="0" xfId="1" applyFont="1" applyFill="1" applyBorder="1" applyAlignment="1">
      <alignment horizontal="right" vertical="top" wrapText="1"/>
    </xf>
    <xf numFmtId="0" fontId="101" fillId="35" borderId="21" xfId="0" applyFont="1" applyFill="1" applyBorder="1"/>
    <xf numFmtId="0" fontId="101" fillId="0" borderId="21" xfId="0" applyFont="1" applyBorder="1"/>
    <xf numFmtId="0" fontId="105" fillId="0" borderId="0" xfId="0" applyFont="1"/>
    <xf numFmtId="3" fontId="105" fillId="35" borderId="22" xfId="0" applyNumberFormat="1" applyFont="1" applyFill="1" applyBorder="1" applyAlignment="1">
      <alignment horizontal="right" vertical="top" wrapText="1"/>
    </xf>
    <xf numFmtId="3" fontId="105" fillId="0" borderId="22" xfId="0" applyNumberFormat="1" applyFont="1" applyFill="1" applyBorder="1" applyAlignment="1">
      <alignment horizontal="right" vertical="top" wrapText="1"/>
    </xf>
    <xf numFmtId="3" fontId="105" fillId="0" borderId="0" xfId="0" applyNumberFormat="1" applyFont="1" applyFill="1" applyBorder="1" applyAlignment="1">
      <alignment horizontal="right" vertical="top" wrapText="1"/>
    </xf>
    <xf numFmtId="43" fontId="101" fillId="0" borderId="0" xfId="1" applyFont="1"/>
    <xf numFmtId="3" fontId="105" fillId="35" borderId="0" xfId="0" applyNumberFormat="1" applyFont="1" applyFill="1" applyBorder="1" applyAlignment="1">
      <alignment horizontal="right" vertical="top" wrapText="1"/>
    </xf>
    <xf numFmtId="0" fontId="98" fillId="35" borderId="3" xfId="0" applyFont="1" applyFill="1" applyBorder="1" applyAlignment="1">
      <alignment horizontal="center"/>
    </xf>
    <xf numFmtId="0" fontId="98" fillId="35" borderId="5" xfId="0" applyFont="1" applyFill="1" applyBorder="1" applyAlignment="1">
      <alignment horizontal="center"/>
    </xf>
    <xf numFmtId="3" fontId="105" fillId="35" borderId="6" xfId="0" applyNumberFormat="1" applyFont="1" applyFill="1" applyBorder="1" applyAlignment="1">
      <alignment horizontal="right" vertical="top" wrapText="1"/>
    </xf>
    <xf numFmtId="3" fontId="105" fillId="35" borderId="11" xfId="0" applyNumberFormat="1" applyFont="1" applyFill="1" applyBorder="1" applyAlignment="1">
      <alignment horizontal="right" vertical="top" wrapText="1"/>
    </xf>
    <xf numFmtId="0" fontId="105" fillId="35" borderId="4" xfId="0" applyFont="1" applyFill="1" applyBorder="1" applyAlignment="1">
      <alignment horizontal="center"/>
    </xf>
    <xf numFmtId="43" fontId="101" fillId="35" borderId="7" xfId="1" applyFont="1" applyFill="1" applyBorder="1"/>
    <xf numFmtId="0" fontId="101" fillId="0" borderId="29" xfId="0" applyFont="1" applyBorder="1"/>
    <xf numFmtId="0" fontId="98" fillId="35" borderId="6" xfId="0" applyFont="1" applyFill="1" applyBorder="1" applyAlignment="1">
      <alignment horizontal="center"/>
    </xf>
    <xf numFmtId="0" fontId="98" fillId="35" borderId="11" xfId="0" applyFont="1" applyFill="1" applyBorder="1" applyAlignment="1">
      <alignment horizontal="center"/>
    </xf>
    <xf numFmtId="0" fontId="98" fillId="0" borderId="29" xfId="0" applyFont="1" applyBorder="1" applyAlignment="1">
      <alignment horizontal="center"/>
    </xf>
    <xf numFmtId="0" fontId="105" fillId="35" borderId="7" xfId="0" applyFont="1" applyFill="1" applyBorder="1" applyAlignment="1">
      <alignment horizontal="center"/>
    </xf>
    <xf numFmtId="0" fontId="105" fillId="0" borderId="29" xfId="0" applyFont="1" applyBorder="1" applyAlignment="1">
      <alignment horizontal="center"/>
    </xf>
    <xf numFmtId="0" fontId="101" fillId="0" borderId="52" xfId="0" applyFont="1" applyBorder="1"/>
    <xf numFmtId="43" fontId="101" fillId="35" borderId="53" xfId="1" applyFont="1" applyFill="1" applyBorder="1"/>
    <xf numFmtId="43" fontId="101" fillId="0" borderId="52" xfId="1" applyFont="1" applyFill="1" applyBorder="1"/>
    <xf numFmtId="0" fontId="101" fillId="0" borderId="54" xfId="0" applyFont="1" applyBorder="1"/>
    <xf numFmtId="43" fontId="101" fillId="35" borderId="55" xfId="1" applyFont="1" applyFill="1" applyBorder="1"/>
    <xf numFmtId="43" fontId="101" fillId="0" borderId="54" xfId="1" applyFont="1" applyFill="1" applyBorder="1"/>
    <xf numFmtId="0" fontId="101" fillId="0" borderId="56" xfId="0" applyFont="1" applyBorder="1"/>
    <xf numFmtId="39" fontId="101" fillId="0" borderId="56" xfId="3329" applyFont="1" applyFill="1" applyBorder="1" applyAlignment="1"/>
    <xf numFmtId="164" fontId="101" fillId="35" borderId="67" xfId="1" applyNumberFormat="1" applyFont="1" applyFill="1" applyBorder="1" applyAlignment="1">
      <alignment horizontal="right"/>
    </xf>
    <xf numFmtId="164" fontId="101" fillId="0" borderId="56" xfId="1" applyNumberFormat="1" applyFont="1" applyFill="1" applyBorder="1"/>
    <xf numFmtId="164" fontId="101" fillId="35" borderId="65" xfId="1" applyNumberFormat="1" applyFont="1" applyFill="1" applyBorder="1"/>
    <xf numFmtId="164" fontId="101" fillId="35" borderId="68" xfId="1" applyNumberFormat="1" applyFont="1" applyFill="1" applyBorder="1" applyAlignment="1">
      <alignment horizontal="right"/>
    </xf>
    <xf numFmtId="164" fontId="101" fillId="0" borderId="54" xfId="1" applyNumberFormat="1" applyFont="1" applyFill="1" applyBorder="1" applyAlignment="1">
      <alignment vertical="top" wrapText="1"/>
    </xf>
    <xf numFmtId="164" fontId="101" fillId="0" borderId="54" xfId="1" applyNumberFormat="1" applyFont="1" applyFill="1" applyBorder="1"/>
    <xf numFmtId="0" fontId="101" fillId="35" borderId="3" xfId="0" applyFont="1" applyFill="1" applyBorder="1"/>
    <xf numFmtId="0" fontId="101" fillId="35" borderId="5" xfId="0" applyFont="1" applyFill="1" applyBorder="1"/>
    <xf numFmtId="0" fontId="105" fillId="0" borderId="30" xfId="0" applyFont="1" applyBorder="1"/>
    <xf numFmtId="0" fontId="101" fillId="0" borderId="30" xfId="0" applyFont="1" applyBorder="1"/>
    <xf numFmtId="3" fontId="105" fillId="35" borderId="69" xfId="0" applyNumberFormat="1" applyFont="1" applyFill="1" applyBorder="1" applyAlignment="1">
      <alignment horizontal="right" vertical="top" wrapText="1"/>
    </xf>
    <xf numFmtId="3" fontId="105" fillId="35" borderId="12" xfId="0" applyNumberFormat="1" applyFont="1" applyFill="1" applyBorder="1" applyAlignment="1">
      <alignment horizontal="right" vertical="top" wrapText="1"/>
    </xf>
    <xf numFmtId="3" fontId="105" fillId="0" borderId="30" xfId="0" applyNumberFormat="1" applyFont="1" applyFill="1" applyBorder="1" applyAlignment="1">
      <alignment horizontal="right" vertical="top" wrapText="1"/>
    </xf>
    <xf numFmtId="0" fontId="99" fillId="0" borderId="0" xfId="0" applyFont="1" applyFill="1" applyAlignment="1">
      <alignment horizontal="center"/>
    </xf>
    <xf numFmtId="0" fontId="99" fillId="0" borderId="0" xfId="0" applyFont="1" applyFill="1" applyAlignment="1"/>
    <xf numFmtId="0" fontId="105" fillId="0" borderId="23" xfId="0" applyFont="1" applyFill="1" applyBorder="1" applyAlignment="1">
      <alignment horizontal="left"/>
    </xf>
    <xf numFmtId="0" fontId="105" fillId="0" borderId="23" xfId="0" applyFont="1" applyFill="1" applyBorder="1" applyAlignment="1">
      <alignment horizontal="center"/>
    </xf>
    <xf numFmtId="0" fontId="105" fillId="0" borderId="0" xfId="0" applyFont="1" applyFill="1" applyBorder="1" applyAlignment="1">
      <alignment horizontal="center"/>
    </xf>
    <xf numFmtId="164" fontId="103" fillId="0" borderId="0" xfId="1" applyNumberFormat="1" applyFont="1"/>
    <xf numFmtId="164" fontId="101" fillId="0" borderId="0" xfId="0" applyNumberFormat="1" applyFont="1" applyFill="1"/>
    <xf numFmtId="43" fontId="101" fillId="0" borderId="0" xfId="0" applyNumberFormat="1" applyFont="1" applyFill="1"/>
    <xf numFmtId="0" fontId="101" fillId="0" borderId="0" xfId="0" applyFont="1" applyFill="1" applyBorder="1"/>
    <xf numFmtId="166" fontId="101" fillId="0" borderId="0" xfId="0" applyNumberFormat="1" applyFont="1" applyFill="1" applyBorder="1"/>
    <xf numFmtId="0" fontId="105" fillId="0" borderId="0" xfId="0" applyFont="1" applyFill="1"/>
    <xf numFmtId="10" fontId="101" fillId="0" borderId="0" xfId="40082" applyNumberFormat="1" applyFont="1" applyFill="1"/>
    <xf numFmtId="10" fontId="101" fillId="0" borderId="0" xfId="0" applyNumberFormat="1" applyFont="1"/>
    <xf numFmtId="0" fontId="105" fillId="0" borderId="23" xfId="0" applyFont="1" applyFill="1" applyBorder="1" applyAlignment="1"/>
    <xf numFmtId="0" fontId="101" fillId="16" borderId="0" xfId="0" applyFont="1" applyFill="1"/>
    <xf numFmtId="164" fontId="101" fillId="0" borderId="0" xfId="1" applyNumberFormat="1" applyFont="1" applyFill="1" applyBorder="1" applyAlignment="1">
      <alignment horizontal="right" vertical="top" wrapText="1"/>
    </xf>
    <xf numFmtId="0" fontId="96" fillId="0" borderId="0" xfId="0" applyFont="1" applyFill="1" applyAlignment="1">
      <alignment horizontal="center"/>
    </xf>
    <xf numFmtId="0" fontId="101" fillId="0" borderId="2" xfId="0" applyFont="1" applyBorder="1"/>
    <xf numFmtId="0" fontId="101" fillId="0" borderId="48" xfId="0" applyFont="1" applyBorder="1"/>
    <xf numFmtId="0" fontId="101" fillId="0" borderId="49" xfId="0" applyFont="1" applyBorder="1"/>
    <xf numFmtId="0" fontId="101" fillId="0" borderId="3" xfId="0" applyFont="1" applyBorder="1"/>
    <xf numFmtId="0" fontId="105" fillId="0" borderId="0" xfId="0" applyFont="1" applyBorder="1"/>
    <xf numFmtId="0" fontId="101" fillId="0" borderId="5" xfId="0" applyFont="1" applyBorder="1"/>
    <xf numFmtId="0" fontId="105" fillId="0" borderId="5" xfId="0" applyFont="1" applyFill="1" applyBorder="1" applyAlignment="1">
      <alignment horizontal="center"/>
    </xf>
    <xf numFmtId="0" fontId="101" fillId="0" borderId="3" xfId="0" applyFont="1" applyFill="1" applyBorder="1"/>
    <xf numFmtId="43" fontId="101" fillId="0" borderId="5" xfId="1" applyFont="1" applyFill="1" applyBorder="1"/>
    <xf numFmtId="166" fontId="101" fillId="0" borderId="5" xfId="0" applyNumberFormat="1" applyFont="1" applyFill="1" applyBorder="1"/>
    <xf numFmtId="0" fontId="101" fillId="0" borderId="5" xfId="0" applyFont="1" applyFill="1" applyBorder="1"/>
    <xf numFmtId="0" fontId="105" fillId="0" borderId="5" xfId="0" applyFont="1" applyFill="1" applyBorder="1" applyAlignment="1">
      <alignment horizontal="left"/>
    </xf>
    <xf numFmtId="164" fontId="101" fillId="0" borderId="5" xfId="1" applyNumberFormat="1" applyFont="1" applyFill="1" applyBorder="1" applyAlignment="1">
      <alignment horizontal="center" vertical="top" wrapText="1"/>
    </xf>
    <xf numFmtId="164" fontId="101" fillId="0" borderId="5" xfId="1" applyNumberFormat="1" applyFont="1" applyFill="1" applyBorder="1" applyAlignment="1">
      <alignment horizontal="right" vertical="top" wrapText="1"/>
    </xf>
    <xf numFmtId="0" fontId="101" fillId="0" borderId="6" xfId="0" applyFont="1" applyBorder="1"/>
    <xf numFmtId="0" fontId="101" fillId="0" borderId="11" xfId="0" applyFont="1" applyBorder="1"/>
    <xf numFmtId="0" fontId="101" fillId="0" borderId="52" xfId="0" quotePrefix="1" applyFont="1" applyFill="1" applyBorder="1" applyAlignment="1">
      <alignment horizontal="center"/>
    </xf>
    <xf numFmtId="0" fontId="101" fillId="0" borderId="52" xfId="0" applyFont="1" applyFill="1" applyBorder="1"/>
    <xf numFmtId="164" fontId="101" fillId="0" borderId="52" xfId="1" applyNumberFormat="1" applyFont="1" applyFill="1" applyBorder="1"/>
    <xf numFmtId="0" fontId="101" fillId="0" borderId="54" xfId="0" quotePrefix="1" applyFont="1" applyFill="1" applyBorder="1" applyAlignment="1">
      <alignment horizontal="center"/>
    </xf>
    <xf numFmtId="0" fontId="101" fillId="0" borderId="54" xfId="0" applyFont="1" applyFill="1" applyBorder="1"/>
    <xf numFmtId="0" fontId="101" fillId="89" borderId="54" xfId="0" applyFont="1" applyFill="1" applyBorder="1"/>
    <xf numFmtId="164" fontId="101" fillId="0" borderId="52" xfId="1" applyNumberFormat="1" applyFont="1" applyFill="1" applyBorder="1" applyAlignment="1">
      <alignment horizontal="center" vertical="top" wrapText="1"/>
    </xf>
    <xf numFmtId="164" fontId="101" fillId="0" borderId="54" xfId="1" applyNumberFormat="1" applyFont="1" applyFill="1" applyBorder="1" applyAlignment="1">
      <alignment horizontal="right" vertical="top" wrapText="1"/>
    </xf>
    <xf numFmtId="0" fontId="105" fillId="0" borderId="29" xfId="0" applyFont="1" applyBorder="1"/>
    <xf numFmtId="0" fontId="101" fillId="0" borderId="56" xfId="0" applyFont="1" applyFill="1" applyBorder="1"/>
    <xf numFmtId="0" fontId="105" fillId="0" borderId="29" xfId="0" applyFont="1" applyFill="1" applyBorder="1"/>
    <xf numFmtId="0" fontId="101" fillId="0" borderId="29" xfId="0" applyFont="1" applyFill="1" applyBorder="1"/>
    <xf numFmtId="0" fontId="101" fillId="0" borderId="0" xfId="0" quotePrefix="1" applyFont="1" applyAlignment="1">
      <alignment vertical="top"/>
    </xf>
    <xf numFmtId="0" fontId="101" fillId="0" borderId="0" xfId="0" applyFont="1" applyAlignment="1"/>
    <xf numFmtId="0" fontId="105" fillId="0" borderId="0" xfId="0" applyFont="1" applyBorder="1" applyAlignment="1">
      <alignment horizontal="right"/>
    </xf>
    <xf numFmtId="0" fontId="105" fillId="0" borderId="0" xfId="0" applyFont="1" applyBorder="1" applyAlignment="1"/>
    <xf numFmtId="0" fontId="105" fillId="0" borderId="43" xfId="0" applyFont="1" applyFill="1" applyBorder="1" applyAlignment="1">
      <alignment horizontal="right"/>
    </xf>
    <xf numFmtId="0" fontId="105" fillId="0" borderId="43" xfId="0" applyFont="1" applyBorder="1" applyAlignment="1">
      <alignment horizontal="right"/>
    </xf>
    <xf numFmtId="0" fontId="105" fillId="0" borderId="44" xfId="0" applyFont="1" applyFill="1" applyBorder="1" applyAlignment="1">
      <alignment horizontal="right"/>
    </xf>
    <xf numFmtId="0" fontId="105" fillId="0" borderId="44" xfId="0" applyFont="1" applyBorder="1" applyAlignment="1">
      <alignment horizontal="right"/>
    </xf>
    <xf numFmtId="0" fontId="101" fillId="0" borderId="27" xfId="0" applyFont="1" applyBorder="1"/>
    <xf numFmtId="43" fontId="101" fillId="0" borderId="27" xfId="1" applyFont="1" applyFill="1" applyBorder="1" applyAlignment="1"/>
    <xf numFmtId="43" fontId="101" fillId="0" borderId="27" xfId="1" applyFont="1" applyFill="1" applyBorder="1" applyAlignment="1">
      <alignment horizontal="right"/>
    </xf>
    <xf numFmtId="164" fontId="105" fillId="0" borderId="0" xfId="1" applyNumberFormat="1" applyFont="1" applyFill="1" applyBorder="1" applyAlignment="1">
      <alignment horizontal="center"/>
    </xf>
    <xf numFmtId="164" fontId="101" fillId="0" borderId="0" xfId="1" applyNumberFormat="1" applyFont="1" applyBorder="1" applyAlignment="1">
      <alignment horizontal="center"/>
    </xf>
    <xf numFmtId="43" fontId="101" fillId="0" borderId="28" xfId="1" applyFont="1" applyFill="1" applyBorder="1" applyAlignment="1"/>
    <xf numFmtId="0" fontId="105" fillId="0" borderId="0" xfId="0" applyFont="1" applyAlignment="1">
      <alignment wrapText="1"/>
    </xf>
    <xf numFmtId="0" fontId="105" fillId="0" borderId="26" xfId="0" applyFont="1" applyBorder="1" applyAlignment="1">
      <alignment vertical="center" wrapText="1"/>
    </xf>
    <xf numFmtId="0" fontId="101" fillId="0" borderId="28" xfId="0" applyFont="1" applyBorder="1"/>
    <xf numFmtId="164" fontId="105" fillId="0" borderId="27" xfId="1" applyNumberFormat="1" applyFont="1" applyFill="1" applyBorder="1" applyAlignment="1">
      <alignment horizontal="right" vertical="center" wrapText="1"/>
    </xf>
    <xf numFmtId="0" fontId="101" fillId="0" borderId="26" xfId="0" applyFont="1" applyBorder="1"/>
    <xf numFmtId="43" fontId="101" fillId="0" borderId="27" xfId="1" applyFont="1" applyFill="1" applyBorder="1" applyAlignment="1">
      <alignment horizontal="center"/>
    </xf>
    <xf numFmtId="0" fontId="105" fillId="0" borderId="26" xfId="0" applyFont="1" applyBorder="1" applyAlignment="1">
      <alignment vertical="center"/>
    </xf>
    <xf numFmtId="0" fontId="105" fillId="0" borderId="27" xfId="0" applyFont="1" applyBorder="1" applyAlignment="1">
      <alignment horizontal="right" vertical="center" wrapText="1"/>
    </xf>
    <xf numFmtId="0" fontId="105" fillId="0" borderId="27" xfId="0" applyFont="1" applyBorder="1"/>
    <xf numFmtId="0" fontId="105" fillId="0" borderId="27" xfId="0" applyFont="1" applyBorder="1" applyAlignment="1">
      <alignment horizontal="right" wrapText="1"/>
    </xf>
    <xf numFmtId="0" fontId="101" fillId="0" borderId="27" xfId="0" applyFont="1" applyBorder="1" applyAlignment="1"/>
    <xf numFmtId="0" fontId="101" fillId="0" borderId="28" xfId="0" applyFont="1" applyBorder="1" applyAlignment="1"/>
    <xf numFmtId="0" fontId="105" fillId="35" borderId="25" xfId="0" applyFont="1" applyFill="1" applyBorder="1" applyAlignment="1">
      <alignment horizontal="center"/>
    </xf>
    <xf numFmtId="0" fontId="105" fillId="35" borderId="0" xfId="14454" applyNumberFormat="1" applyFont="1" applyFill="1"/>
    <xf numFmtId="2" fontId="105" fillId="35" borderId="0" xfId="14454" applyNumberFormat="1" applyFont="1" applyFill="1"/>
    <xf numFmtId="164" fontId="105" fillId="0" borderId="0" xfId="1" quotePrefix="1" applyNumberFormat="1" applyFont="1" applyFill="1" applyBorder="1" applyAlignment="1">
      <alignment horizontal="center"/>
    </xf>
    <xf numFmtId="0" fontId="101" fillId="0" borderId="0" xfId="0" applyFont="1" applyAlignment="1">
      <alignment horizontal="left" vertical="top" wrapText="1"/>
    </xf>
    <xf numFmtId="0" fontId="105" fillId="0" borderId="0" xfId="0" applyFont="1" applyFill="1" applyAlignment="1">
      <alignment horizontal="right"/>
    </xf>
    <xf numFmtId="0" fontId="101" fillId="0" borderId="0" xfId="0" applyFont="1" applyAlignment="1">
      <alignment horizontal="left" vertical="center" wrapText="1"/>
    </xf>
    <xf numFmtId="39" fontId="105" fillId="0" borderId="0" xfId="0" applyNumberFormat="1" applyFont="1" applyFill="1" applyBorder="1" applyAlignment="1">
      <alignment horizontal="left"/>
    </xf>
    <xf numFmtId="39" fontId="101" fillId="0" borderId="0" xfId="0" applyNumberFormat="1" applyFont="1" applyFill="1" applyBorder="1" applyAlignment="1">
      <alignment horizontal="left"/>
    </xf>
    <xf numFmtId="164" fontId="101" fillId="0" borderId="0" xfId="1" applyNumberFormat="1" applyFont="1" applyFill="1" applyBorder="1" applyAlignment="1"/>
    <xf numFmtId="164" fontId="101" fillId="0" borderId="0" xfId="1" applyNumberFormat="1" applyFont="1" applyFill="1" applyBorder="1" applyAlignment="1">
      <alignment horizontal="center"/>
    </xf>
    <xf numFmtId="37" fontId="101" fillId="0" borderId="0" xfId="0" applyNumberFormat="1" applyFont="1" applyFill="1" applyBorder="1" applyAlignment="1">
      <alignment horizontal="left"/>
    </xf>
    <xf numFmtId="164" fontId="101" fillId="0" borderId="0" xfId="1" applyNumberFormat="1" applyFont="1" applyFill="1" applyBorder="1" applyAlignment="1">
      <alignment horizontal="left"/>
    </xf>
    <xf numFmtId="3" fontId="105" fillId="0" borderId="0" xfId="0" applyNumberFormat="1" applyFont="1" applyFill="1" applyBorder="1" applyAlignment="1">
      <alignment horizontal="left"/>
    </xf>
    <xf numFmtId="164" fontId="101" fillId="0" borderId="0" xfId="1" applyNumberFormat="1" applyFont="1" applyBorder="1"/>
    <xf numFmtId="164" fontId="101" fillId="0" borderId="0" xfId="0" applyNumberFormat="1" applyFont="1" applyBorder="1"/>
    <xf numFmtId="43" fontId="101" fillId="0" borderId="0" xfId="1" applyFont="1" applyBorder="1"/>
    <xf numFmtId="43" fontId="101" fillId="0" borderId="0" xfId="0" applyNumberFormat="1" applyFont="1" applyBorder="1"/>
    <xf numFmtId="43" fontId="101" fillId="0" borderId="0" xfId="1" applyNumberFormat="1" applyFont="1" applyBorder="1"/>
    <xf numFmtId="164" fontId="105" fillId="0" borderId="0" xfId="0" applyNumberFormat="1" applyFont="1" applyBorder="1"/>
    <xf numFmtId="0" fontId="105" fillId="0" borderId="43" xfId="0" applyFont="1" applyFill="1" applyBorder="1" applyAlignment="1">
      <alignment horizontal="center"/>
    </xf>
    <xf numFmtId="0" fontId="105" fillId="0" borderId="43" xfId="0" applyFont="1" applyBorder="1" applyAlignment="1">
      <alignment horizontal="center"/>
    </xf>
    <xf numFmtId="0" fontId="105" fillId="0" borderId="44" xfId="0" applyFont="1" applyFill="1" applyBorder="1" applyAlignment="1">
      <alignment horizontal="center"/>
    </xf>
    <xf numFmtId="0" fontId="105" fillId="0" borderId="44" xfId="0" applyFont="1" applyBorder="1" applyAlignment="1">
      <alignment horizontal="center"/>
    </xf>
    <xf numFmtId="0" fontId="105" fillId="35" borderId="8" xfId="0" applyFont="1" applyFill="1" applyBorder="1" applyAlignment="1">
      <alignment horizontal="center"/>
    </xf>
    <xf numFmtId="2" fontId="107" fillId="35" borderId="7" xfId="14454" applyNumberFormat="1" applyFont="1" applyFill="1" applyBorder="1"/>
    <xf numFmtId="0" fontId="105" fillId="0" borderId="0" xfId="0" applyFont="1" applyBorder="1" applyAlignment="1">
      <alignment horizontal="center"/>
    </xf>
    <xf numFmtId="0" fontId="105" fillId="35" borderId="7" xfId="0" applyFont="1" applyFill="1" applyBorder="1"/>
    <xf numFmtId="10" fontId="105" fillId="35" borderId="7" xfId="14454" applyNumberFormat="1" applyFont="1" applyFill="1" applyBorder="1"/>
    <xf numFmtId="10" fontId="101" fillId="0" borderId="29" xfId="0" applyNumberFormat="1" applyFont="1" applyBorder="1"/>
    <xf numFmtId="164" fontId="105" fillId="35" borderId="55" xfId="1" applyNumberFormat="1" applyFont="1" applyFill="1" applyBorder="1"/>
    <xf numFmtId="10" fontId="105" fillId="35" borderId="55" xfId="14454" applyNumberFormat="1" applyFont="1" applyFill="1" applyBorder="1"/>
    <xf numFmtId="10" fontId="101" fillId="0" borderId="54" xfId="0" applyNumberFormat="1" applyFont="1" applyBorder="1"/>
    <xf numFmtId="164" fontId="105" fillId="35" borderId="55" xfId="1" applyNumberFormat="1" applyFont="1" applyFill="1" applyBorder="1" applyAlignment="1">
      <alignment horizontal="center"/>
    </xf>
    <xf numFmtId="164" fontId="101" fillId="0" borderId="54" xfId="1" applyNumberFormat="1" applyFont="1" applyBorder="1" applyAlignment="1">
      <alignment horizontal="center"/>
    </xf>
    <xf numFmtId="0" fontId="105" fillId="35" borderId="55" xfId="0" applyNumberFormat="1" applyFont="1" applyFill="1" applyBorder="1"/>
    <xf numFmtId="0" fontId="101" fillId="0" borderId="54" xfId="14454" applyNumberFormat="1" applyFont="1" applyBorder="1"/>
    <xf numFmtId="0" fontId="105" fillId="0" borderId="48" xfId="0" applyFont="1" applyBorder="1"/>
    <xf numFmtId="0" fontId="105" fillId="0" borderId="48" xfId="0" applyFont="1" applyBorder="1" applyAlignment="1">
      <alignment horizontal="center"/>
    </xf>
    <xf numFmtId="0" fontId="105" fillId="35" borderId="4" xfId="0" applyFont="1" applyFill="1" applyBorder="1"/>
    <xf numFmtId="10" fontId="105" fillId="35" borderId="4" xfId="14454" applyNumberFormat="1" applyFont="1" applyFill="1" applyBorder="1"/>
    <xf numFmtId="10" fontId="101" fillId="0" borderId="48" xfId="0" applyNumberFormat="1" applyFont="1" applyBorder="1"/>
    <xf numFmtId="0" fontId="105" fillId="0" borderId="5" xfId="0" applyFont="1" applyBorder="1" applyAlignment="1">
      <alignment horizontal="center"/>
    </xf>
    <xf numFmtId="164" fontId="101" fillId="0" borderId="5" xfId="1" applyNumberFormat="1" applyFont="1" applyBorder="1"/>
    <xf numFmtId="164" fontId="101" fillId="0" borderId="5" xfId="1" applyNumberFormat="1" applyFont="1" applyBorder="1" applyAlignment="1">
      <alignment horizontal="center"/>
    </xf>
    <xf numFmtId="0" fontId="101" fillId="0" borderId="5" xfId="14454" applyNumberFormat="1" applyFont="1" applyBorder="1"/>
    <xf numFmtId="0" fontId="105" fillId="0" borderId="5" xfId="0" applyFont="1" applyBorder="1"/>
    <xf numFmtId="10" fontId="101" fillId="0" borderId="5" xfId="14454" applyNumberFormat="1" applyFont="1" applyBorder="1"/>
    <xf numFmtId="10" fontId="101" fillId="0" borderId="5" xfId="1" applyNumberFormat="1" applyFont="1" applyBorder="1"/>
    <xf numFmtId="10" fontId="101" fillId="0" borderId="5" xfId="0" applyNumberFormat="1" applyFont="1" applyBorder="1"/>
    <xf numFmtId="0" fontId="101" fillId="0" borderId="29" xfId="0" applyFont="1" applyBorder="1" applyAlignment="1">
      <alignment horizontal="left" vertical="top" wrapText="1"/>
    </xf>
    <xf numFmtId="0" fontId="101" fillId="0" borderId="11" xfId="0" applyFont="1" applyBorder="1" applyAlignment="1">
      <alignment horizontal="left" vertical="top" wrapText="1"/>
    </xf>
    <xf numFmtId="0" fontId="112" fillId="0" borderId="0" xfId="0" applyFont="1" applyFill="1" applyAlignment="1">
      <alignment horizontal="center"/>
    </xf>
    <xf numFmtId="0" fontId="105" fillId="0" borderId="5" xfId="0" applyFont="1" applyBorder="1" applyAlignment="1"/>
    <xf numFmtId="0" fontId="105" fillId="0" borderId="5" xfId="0" applyFont="1" applyBorder="1" applyAlignment="1">
      <alignment horizontal="right"/>
    </xf>
    <xf numFmtId="43" fontId="101" fillId="0" borderId="5" xfId="1" applyFont="1" applyFill="1" applyBorder="1" applyAlignment="1">
      <alignment horizontal="right"/>
    </xf>
    <xf numFmtId="43" fontId="101" fillId="0" borderId="5" xfId="1" applyFont="1" applyFill="1" applyBorder="1" applyAlignment="1">
      <alignment horizontal="center" wrapText="1"/>
    </xf>
    <xf numFmtId="0" fontId="101" fillId="0" borderId="0" xfId="0" applyFont="1" applyBorder="1" applyAlignment="1">
      <alignment wrapText="1"/>
    </xf>
    <xf numFmtId="43" fontId="101" fillId="0" borderId="5" xfId="1" applyFont="1" applyFill="1" applyBorder="1" applyAlignment="1">
      <alignment horizontal="center"/>
    </xf>
    <xf numFmtId="43" fontId="101" fillId="0" borderId="5" xfId="1" applyFont="1" applyFill="1" applyBorder="1" applyAlignment="1"/>
    <xf numFmtId="0" fontId="105" fillId="0" borderId="0" xfId="0" applyFont="1" applyBorder="1" applyAlignment="1">
      <alignment wrapText="1"/>
    </xf>
    <xf numFmtId="164" fontId="105" fillId="0" borderId="5" xfId="1" applyNumberFormat="1" applyFont="1" applyFill="1" applyBorder="1" applyAlignment="1">
      <alignment horizontal="right" vertical="center" wrapText="1"/>
    </xf>
    <xf numFmtId="0" fontId="101" fillId="0" borderId="5" xfId="0" applyNumberFormat="1" applyFont="1" applyBorder="1"/>
    <xf numFmtId="0" fontId="105" fillId="0" borderId="5" xfId="0" applyFont="1" applyBorder="1" applyAlignment="1">
      <alignment horizontal="right" vertical="center" wrapText="1"/>
    </xf>
    <xf numFmtId="10" fontId="105" fillId="0" borderId="0" xfId="14454" applyNumberFormat="1" applyFont="1" applyFill="1" applyBorder="1"/>
    <xf numFmtId="10" fontId="101" fillId="0" borderId="0" xfId="14454" applyNumberFormat="1" applyFont="1" applyBorder="1"/>
    <xf numFmtId="10" fontId="105" fillId="0" borderId="0" xfId="0" applyNumberFormat="1" applyFont="1" applyFill="1" applyBorder="1"/>
    <xf numFmtId="43" fontId="101" fillId="0" borderId="5" xfId="1" applyFont="1" applyBorder="1"/>
    <xf numFmtId="0" fontId="101" fillId="0" borderId="0" xfId="0" quotePrefix="1" applyFont="1" applyBorder="1" applyAlignment="1">
      <alignment vertical="top"/>
    </xf>
    <xf numFmtId="0" fontId="101" fillId="0" borderId="5" xfId="0" applyFont="1" applyBorder="1" applyAlignment="1">
      <alignment vertical="justify"/>
    </xf>
    <xf numFmtId="0" fontId="101" fillId="0" borderId="0" xfId="0" applyFont="1" applyBorder="1" applyAlignment="1"/>
    <xf numFmtId="0" fontId="101" fillId="0" borderId="5" xfId="0" applyFont="1" applyBorder="1" applyAlignment="1">
      <alignment horizontal="left" vertical="justify"/>
    </xf>
    <xf numFmtId="0" fontId="101" fillId="0" borderId="0" xfId="0" quotePrefix="1" applyFont="1" applyBorder="1"/>
    <xf numFmtId="0" fontId="101" fillId="0" borderId="0" xfId="0" applyFont="1" applyBorder="1" applyAlignment="1">
      <alignment vertical="top"/>
    </xf>
    <xf numFmtId="0" fontId="101" fillId="0" borderId="0" xfId="0" applyFont="1" applyBorder="1" applyAlignment="1">
      <alignment horizontal="justify" vertical="center" wrapText="1"/>
    </xf>
    <xf numFmtId="0" fontId="101" fillId="0" borderId="29" xfId="0" quotePrefix="1" applyFont="1" applyBorder="1" applyAlignment="1">
      <alignment vertical="top"/>
    </xf>
    <xf numFmtId="0" fontId="101" fillId="0" borderId="29" xfId="0" applyFont="1" applyBorder="1" applyAlignment="1">
      <alignment horizontal="justify" vertical="top" wrapText="1"/>
    </xf>
    <xf numFmtId="0" fontId="111" fillId="0" borderId="29" xfId="0" applyFont="1" applyBorder="1"/>
    <xf numFmtId="0" fontId="111" fillId="0" borderId="3" xfId="0" applyFont="1" applyBorder="1"/>
    <xf numFmtId="0" fontId="98" fillId="0" borderId="5" xfId="0" applyFont="1" applyBorder="1" applyAlignment="1">
      <alignment horizontal="center"/>
    </xf>
    <xf numFmtId="164" fontId="101" fillId="0" borderId="5" xfId="1" applyNumberFormat="1" applyFont="1" applyFill="1" applyBorder="1"/>
    <xf numFmtId="3" fontId="105" fillId="0" borderId="5" xfId="0" applyNumberFormat="1" applyFont="1" applyFill="1" applyBorder="1" applyAlignment="1">
      <alignment horizontal="right" vertical="top" wrapText="1"/>
    </xf>
    <xf numFmtId="0" fontId="97" fillId="0" borderId="63" xfId="40064" applyFont="1" applyBorder="1"/>
    <xf numFmtId="164" fontId="97" fillId="0" borderId="63" xfId="40065" applyNumberFormat="1" applyFont="1" applyBorder="1"/>
    <xf numFmtId="164" fontId="97" fillId="0" borderId="63" xfId="40065" applyNumberFormat="1" applyFont="1" applyFill="1" applyBorder="1"/>
    <xf numFmtId="164" fontId="98" fillId="0" borderId="63" xfId="40065" applyNumberFormat="1" applyFont="1" applyBorder="1"/>
    <xf numFmtId="164" fontId="98" fillId="0" borderId="63" xfId="40065" applyNumberFormat="1" applyFont="1" applyFill="1" applyBorder="1"/>
    <xf numFmtId="0" fontId="98" fillId="0" borderId="54" xfId="40064" applyFont="1" applyBorder="1" applyAlignment="1">
      <alignment horizontal="left" vertical="top"/>
    </xf>
    <xf numFmtId="0" fontId="88" fillId="0" borderId="48" xfId="40100" applyFont="1" applyFill="1" applyBorder="1" applyAlignment="1">
      <alignment horizontal="left" vertical="top"/>
    </xf>
    <xf numFmtId="0" fontId="113" fillId="0" borderId="0" xfId="40100" applyFont="1" applyFill="1" applyBorder="1" applyAlignment="1">
      <alignment horizontal="left"/>
    </xf>
    <xf numFmtId="0" fontId="87" fillId="0" borderId="0" xfId="40100" applyFill="1" applyBorder="1" applyAlignment="1">
      <alignment horizontal="left"/>
    </xf>
    <xf numFmtId="0" fontId="95" fillId="0" borderId="29" xfId="40100" applyFont="1" applyFill="1" applyBorder="1" applyAlignment="1">
      <alignment horizontal="left"/>
    </xf>
    <xf numFmtId="0" fontId="87" fillId="0" borderId="29" xfId="40100" applyFill="1" applyBorder="1" applyAlignment="1">
      <alignment horizontal="left"/>
    </xf>
    <xf numFmtId="0" fontId="114" fillId="0" borderId="52" xfId="40100" applyFont="1" applyFill="1" applyBorder="1" applyAlignment="1">
      <alignment horizontal="left"/>
    </xf>
    <xf numFmtId="0" fontId="114" fillId="0" borderId="54" xfId="40100" applyFont="1" applyFill="1" applyBorder="1" applyAlignment="1">
      <alignment horizontal="left"/>
    </xf>
    <xf numFmtId="0" fontId="114" fillId="0" borderId="54" xfId="40100" quotePrefix="1" applyFont="1" applyFill="1" applyBorder="1" applyAlignment="1">
      <alignment horizontal="left"/>
    </xf>
    <xf numFmtId="0" fontId="94" fillId="0" borderId="0" xfId="40100" applyFont="1" applyFill="1" applyBorder="1" applyAlignment="1">
      <alignment horizontal="left" vertical="top"/>
    </xf>
    <xf numFmtId="0" fontId="98" fillId="35" borderId="4" xfId="14458" quotePrefix="1" applyNumberFormat="1" applyFont="1" applyFill="1" applyBorder="1" applyAlignment="1">
      <alignment horizontal="center"/>
    </xf>
    <xf numFmtId="0" fontId="98" fillId="0" borderId="0" xfId="14458" quotePrefix="1" applyNumberFormat="1" applyFont="1" applyFill="1" applyBorder="1" applyAlignment="1">
      <alignment horizontal="center"/>
    </xf>
    <xf numFmtId="164" fontId="38" fillId="0" borderId="0" xfId="1" applyNumberFormat="1" applyFont="1" applyAlignment="1">
      <alignment horizontal="center"/>
    </xf>
    <xf numFmtId="0" fontId="38" fillId="0" borderId="0" xfId="40064" applyFont="1" applyFill="1" applyBorder="1" applyAlignment="1">
      <alignment horizontal="center" wrapText="1"/>
    </xf>
    <xf numFmtId="164" fontId="38" fillId="0" borderId="29" xfId="40065" quotePrefix="1" applyNumberFormat="1" applyFont="1" applyFill="1" applyBorder="1" applyAlignment="1">
      <alignment horizontal="center"/>
    </xf>
    <xf numFmtId="0" fontId="38" fillId="0" borderId="29" xfId="40064" applyFont="1" applyFill="1" applyBorder="1" applyAlignment="1">
      <alignment horizontal="center" wrapText="1"/>
    </xf>
    <xf numFmtId="15" fontId="84" fillId="0" borderId="0" xfId="0" applyNumberFormat="1" applyFont="1" applyAlignment="1">
      <alignment wrapText="1"/>
    </xf>
    <xf numFmtId="164" fontId="15" fillId="0" borderId="0" xfId="2190" applyNumberFormat="1" applyFont="1"/>
    <xf numFmtId="164" fontId="115" fillId="0" borderId="0" xfId="40065" applyNumberFormat="1" applyFont="1" applyBorder="1"/>
    <xf numFmtId="164" fontId="71" fillId="88" borderId="0" xfId="40065" applyNumberFormat="1" applyFont="1" applyFill="1" applyBorder="1"/>
    <xf numFmtId="164" fontId="115" fillId="0" borderId="0" xfId="1" applyNumberFormat="1" applyFont="1" applyBorder="1"/>
    <xf numFmtId="164" fontId="38" fillId="88" borderId="0" xfId="40065" applyNumberFormat="1" applyFont="1" applyFill="1" applyBorder="1"/>
    <xf numFmtId="0" fontId="38" fillId="0" borderId="0" xfId="40064" applyFont="1" applyFill="1" applyBorder="1" applyAlignment="1">
      <alignment wrapText="1"/>
    </xf>
    <xf numFmtId="164" fontId="38" fillId="35" borderId="25" xfId="40065" applyNumberFormat="1" applyFont="1" applyFill="1" applyBorder="1"/>
    <xf numFmtId="164" fontId="38" fillId="0" borderId="25" xfId="40065" applyNumberFormat="1" applyFont="1" applyFill="1" applyBorder="1"/>
    <xf numFmtId="164" fontId="38" fillId="0" borderId="42" xfId="1" applyNumberFormat="1" applyFont="1" applyFill="1" applyBorder="1"/>
    <xf numFmtId="164" fontId="71" fillId="90" borderId="0" xfId="40065" applyNumberFormat="1" applyFont="1" applyFill="1" applyBorder="1"/>
    <xf numFmtId="164" fontId="71" fillId="91" borderId="0" xfId="40065" applyNumberFormat="1" applyFont="1" applyFill="1" applyBorder="1"/>
    <xf numFmtId="164" fontId="118" fillId="88" borderId="0" xfId="40065" applyNumberFormat="1" applyFont="1" applyFill="1" applyBorder="1"/>
    <xf numFmtId="164" fontId="71" fillId="92" borderId="0" xfId="40065" applyNumberFormat="1" applyFont="1" applyFill="1" applyBorder="1"/>
    <xf numFmtId="164" fontId="71" fillId="0" borderId="42" xfId="40065" applyNumberFormat="1" applyFont="1" applyFill="1" applyBorder="1"/>
    <xf numFmtId="164" fontId="15" fillId="92" borderId="0" xfId="40065" applyNumberFormat="1" applyFont="1" applyFill="1" applyBorder="1"/>
    <xf numFmtId="164" fontId="76" fillId="36" borderId="0" xfId="40065" applyNumberFormat="1" applyFont="1" applyFill="1" applyBorder="1"/>
    <xf numFmtId="164" fontId="15" fillId="90" borderId="0" xfId="40065" applyNumberFormat="1" applyFont="1" applyFill="1" applyBorder="1"/>
    <xf numFmtId="164" fontId="71" fillId="90" borderId="0" xfId="40065" applyNumberFormat="1" applyFont="1" applyFill="1"/>
    <xf numFmtId="164" fontId="105" fillId="0" borderId="29" xfId="1" applyNumberFormat="1" applyFont="1" applyFill="1" applyBorder="1" applyAlignment="1">
      <alignment horizontal="center"/>
    </xf>
    <xf numFmtId="164" fontId="101" fillId="0" borderId="29" xfId="1" applyNumberFormat="1" applyFont="1" applyBorder="1" applyAlignment="1">
      <alignment horizontal="center"/>
    </xf>
    <xf numFmtId="10" fontId="105" fillId="0" borderId="52" xfId="0" applyNumberFormat="1" applyFont="1" applyFill="1" applyBorder="1"/>
    <xf numFmtId="0" fontId="105" fillId="0" borderId="52" xfId="0" applyNumberFormat="1" applyFont="1" applyFill="1" applyBorder="1"/>
    <xf numFmtId="0" fontId="101" fillId="0" borderId="52" xfId="14454" applyNumberFormat="1" applyFont="1" applyBorder="1"/>
    <xf numFmtId="10" fontId="105" fillId="0" borderId="54" xfId="0" applyNumberFormat="1" applyFont="1" applyFill="1" applyBorder="1"/>
    <xf numFmtId="0" fontId="105" fillId="0" borderId="54" xfId="0" applyNumberFormat="1" applyFont="1" applyFill="1" applyBorder="1"/>
    <xf numFmtId="0" fontId="101" fillId="0" borderId="54" xfId="0" applyNumberFormat="1" applyFont="1" applyBorder="1"/>
    <xf numFmtId="10" fontId="105" fillId="0" borderId="54" xfId="0" applyNumberFormat="1" applyFont="1" applyFill="1" applyBorder="1" applyAlignment="1">
      <alignment horizontal="right"/>
    </xf>
    <xf numFmtId="0" fontId="105" fillId="0" borderId="54" xfId="0" applyFont="1" applyFill="1" applyBorder="1" applyAlignment="1">
      <alignment horizontal="center"/>
    </xf>
    <xf numFmtId="0" fontId="105" fillId="0" borderId="54" xfId="0" applyFont="1" applyBorder="1" applyAlignment="1">
      <alignment horizontal="center"/>
    </xf>
    <xf numFmtId="0" fontId="105" fillId="0" borderId="29" xfId="0" applyFont="1" applyBorder="1" applyAlignment="1"/>
    <xf numFmtId="0" fontId="105" fillId="0" borderId="29" xfId="0" applyFont="1" applyBorder="1" applyAlignment="1">
      <alignment wrapText="1"/>
    </xf>
    <xf numFmtId="164" fontId="105" fillId="0" borderId="29" xfId="1" applyNumberFormat="1" applyFont="1" applyFill="1" applyBorder="1"/>
    <xf numFmtId="164" fontId="101" fillId="0" borderId="29" xfId="1" applyNumberFormat="1" applyFont="1" applyBorder="1"/>
    <xf numFmtId="0" fontId="38" fillId="0" borderId="0" xfId="40064" applyFont="1" applyFill="1" applyBorder="1" applyAlignment="1">
      <alignment horizontal="center" wrapText="1"/>
    </xf>
    <xf numFmtId="164" fontId="38" fillId="0" borderId="29" xfId="40065" quotePrefix="1" applyNumberFormat="1" applyFont="1" applyFill="1" applyBorder="1" applyAlignment="1">
      <alignment horizontal="center"/>
    </xf>
    <xf numFmtId="0" fontId="38" fillId="0" borderId="29" xfId="40064" applyFont="1" applyFill="1" applyBorder="1" applyAlignment="1">
      <alignment horizontal="center" wrapText="1"/>
    </xf>
    <xf numFmtId="0" fontId="38" fillId="35" borderId="0" xfId="1" quotePrefix="1" applyNumberFormat="1" applyFont="1" applyFill="1" applyBorder="1" applyAlignment="1">
      <alignment horizontal="center"/>
    </xf>
    <xf numFmtId="164" fontId="71" fillId="16" borderId="0" xfId="1" applyNumberFormat="1" applyFont="1" applyFill="1"/>
    <xf numFmtId="164" fontId="71" fillId="92" borderId="0" xfId="1" applyNumberFormat="1" applyFont="1" applyFill="1" applyBorder="1"/>
    <xf numFmtId="164" fontId="71" fillId="90" borderId="0" xfId="1" applyNumberFormat="1" applyFont="1" applyFill="1" applyBorder="1"/>
    <xf numFmtId="164" fontId="71" fillId="84" borderId="0" xfId="1" applyNumberFormat="1" applyFont="1" applyFill="1"/>
    <xf numFmtId="164" fontId="38" fillId="0" borderId="0" xfId="1" applyNumberFormat="1" applyFont="1" applyAlignment="1">
      <alignment vertical="center"/>
    </xf>
    <xf numFmtId="164" fontId="71" fillId="92" borderId="0" xfId="1" applyNumberFormat="1" applyFont="1" applyFill="1"/>
    <xf numFmtId="164" fontId="71" fillId="0" borderId="42" xfId="1" applyNumberFormat="1" applyFont="1" applyBorder="1"/>
    <xf numFmtId="164" fontId="71" fillId="0" borderId="42" xfId="40064" applyNumberFormat="1" applyFont="1" applyBorder="1"/>
    <xf numFmtId="3" fontId="101" fillId="0" borderId="0" xfId="0" applyNumberFormat="1" applyFont="1"/>
    <xf numFmtId="164" fontId="71" fillId="0" borderId="30" xfId="40064" applyNumberFormat="1" applyFont="1" applyBorder="1"/>
    <xf numFmtId="43" fontId="71" fillId="0" borderId="0" xfId="40064" applyNumberFormat="1" applyFont="1" applyFill="1" applyBorder="1" applyAlignment="1">
      <alignment horizontal="center"/>
    </xf>
    <xf numFmtId="3" fontId="71" fillId="0" borderId="0" xfId="40064" applyNumberFormat="1" applyFont="1"/>
    <xf numFmtId="164" fontId="76" fillId="93" borderId="0" xfId="1" applyNumberFormat="1" applyFont="1" applyFill="1"/>
    <xf numFmtId="164" fontId="76" fillId="93" borderId="0" xfId="40065" applyNumberFormat="1" applyFont="1" applyFill="1" applyBorder="1"/>
    <xf numFmtId="164" fontId="15" fillId="0" borderId="0" xfId="40064" applyNumberFormat="1" applyFont="1" applyFill="1"/>
    <xf numFmtId="43" fontId="15" fillId="0" borderId="0" xfId="1" applyFont="1" applyFill="1"/>
    <xf numFmtId="164" fontId="71" fillId="94" borderId="0" xfId="40065" applyNumberFormat="1" applyFont="1" applyFill="1" applyBorder="1"/>
    <xf numFmtId="164" fontId="71" fillId="94" borderId="0" xfId="40065" applyNumberFormat="1" applyFont="1" applyFill="1"/>
    <xf numFmtId="164" fontId="71" fillId="94" borderId="0" xfId="1" applyNumberFormat="1" applyFont="1" applyFill="1"/>
    <xf numFmtId="164" fontId="71" fillId="94" borderId="0" xfId="1" applyNumberFormat="1" applyFont="1" applyFill="1" applyBorder="1"/>
    <xf numFmtId="164" fontId="15" fillId="95" borderId="0" xfId="40065" applyNumberFormat="1" applyFont="1" applyFill="1"/>
    <xf numFmtId="164" fontId="71" fillId="95" borderId="0" xfId="40065" applyNumberFormat="1" applyFont="1" applyFill="1" applyBorder="1"/>
    <xf numFmtId="164" fontId="71" fillId="95" borderId="0" xfId="40065" applyNumberFormat="1" applyFont="1" applyFill="1"/>
    <xf numFmtId="164" fontId="15" fillId="95" borderId="0" xfId="40065" applyNumberFormat="1" applyFont="1" applyFill="1" applyBorder="1"/>
    <xf numFmtId="164" fontId="71" fillId="95" borderId="0" xfId="1" applyNumberFormat="1" applyFont="1" applyFill="1"/>
    <xf numFmtId="164" fontId="71" fillId="95" borderId="0" xfId="1" applyNumberFormat="1" applyFont="1" applyFill="1" applyBorder="1"/>
    <xf numFmtId="164" fontId="71" fillId="96" borderId="0" xfId="40065" applyNumberFormat="1" applyFont="1" applyFill="1"/>
    <xf numFmtId="164" fontId="71" fillId="96" borderId="0" xfId="40065" applyNumberFormat="1" applyFont="1" applyFill="1" applyBorder="1"/>
    <xf numFmtId="164" fontId="118" fillId="96" borderId="0" xfId="40065" applyNumberFormat="1" applyFont="1" applyFill="1" applyBorder="1"/>
    <xf numFmtId="164" fontId="71" fillId="96" borderId="0" xfId="1" applyNumberFormat="1" applyFont="1" applyFill="1"/>
    <xf numFmtId="164" fontId="71" fillId="90" borderId="42" xfId="40065" applyNumberFormat="1" applyFont="1" applyFill="1" applyBorder="1"/>
    <xf numFmtId="164" fontId="76" fillId="90" borderId="0" xfId="40065" applyNumberFormat="1" applyFont="1" applyFill="1" applyBorder="1"/>
    <xf numFmtId="164" fontId="71" fillId="90" borderId="0" xfId="1" applyNumberFormat="1" applyFont="1" applyFill="1"/>
    <xf numFmtId="164" fontId="72" fillId="90" borderId="0" xfId="40065" applyNumberFormat="1" applyFont="1" applyFill="1" applyBorder="1"/>
    <xf numFmtId="0" fontId="101" fillId="89" borderId="0" xfId="0" applyFont="1" applyFill="1" applyBorder="1"/>
    <xf numFmtId="37" fontId="101" fillId="35" borderId="66" xfId="0" applyNumberFormat="1" applyFont="1" applyFill="1" applyBorder="1"/>
    <xf numFmtId="10" fontId="105" fillId="0" borderId="29" xfId="0" applyNumberFormat="1" applyFont="1" applyFill="1" applyBorder="1"/>
    <xf numFmtId="43" fontId="101" fillId="0" borderId="29" xfId="1" applyFont="1" applyBorder="1"/>
    <xf numFmtId="174" fontId="97" fillId="0" borderId="54" xfId="1" applyNumberFormat="1" applyFont="1" applyFill="1" applyBorder="1"/>
    <xf numFmtId="43" fontId="105" fillId="35" borderId="55" xfId="1" applyFont="1" applyFill="1" applyBorder="1"/>
    <xf numFmtId="164" fontId="77" fillId="0" borderId="0" xfId="1" applyNumberFormat="1" applyFont="1" applyAlignment="1">
      <alignment horizontal="center"/>
    </xf>
    <xf numFmtId="43" fontId="105" fillId="35" borderId="53" xfId="1" applyFont="1" applyFill="1" applyBorder="1"/>
    <xf numFmtId="0" fontId="77" fillId="0" borderId="0" xfId="20918" applyFont="1"/>
    <xf numFmtId="0" fontId="77" fillId="0" borderId="0" xfId="2302" applyFont="1" applyFill="1" applyBorder="1" applyAlignment="1">
      <alignment horizontal="left"/>
    </xf>
    <xf numFmtId="0" fontId="78" fillId="89" borderId="0" xfId="2302" applyFont="1" applyFill="1" applyBorder="1"/>
    <xf numFmtId="0" fontId="78" fillId="89" borderId="0" xfId="2302" applyFont="1" applyFill="1"/>
    <xf numFmtId="0" fontId="78" fillId="0" borderId="2" xfId="2302" applyFont="1" applyFill="1" applyBorder="1"/>
    <xf numFmtId="0" fontId="78" fillId="89" borderId="48" xfId="2302" applyFont="1" applyFill="1" applyBorder="1"/>
    <xf numFmtId="0" fontId="119" fillId="89" borderId="49" xfId="2302" applyFont="1" applyFill="1" applyBorder="1" applyAlignment="1">
      <alignment horizontal="right"/>
    </xf>
    <xf numFmtId="39" fontId="78" fillId="0" borderId="3" xfId="2302" applyNumberFormat="1" applyFont="1" applyFill="1" applyBorder="1" applyAlignment="1">
      <alignment horizontal="left"/>
    </xf>
    <xf numFmtId="164" fontId="78" fillId="89" borderId="0" xfId="951" applyNumberFormat="1" applyFont="1" applyFill="1" applyBorder="1"/>
    <xf numFmtId="0" fontId="78" fillId="0" borderId="3" xfId="2302" applyFont="1" applyFill="1" applyBorder="1" applyAlignment="1">
      <alignment horizontal="left"/>
    </xf>
    <xf numFmtId="164" fontId="77" fillId="89" borderId="30" xfId="951" applyNumberFormat="1" applyFont="1" applyFill="1" applyBorder="1"/>
    <xf numFmtId="164" fontId="77" fillId="89" borderId="0" xfId="951" applyNumberFormat="1" applyFont="1" applyFill="1" applyBorder="1"/>
    <xf numFmtId="0" fontId="77" fillId="0" borderId="3" xfId="2302" applyFont="1" applyFill="1" applyBorder="1"/>
    <xf numFmtId="0" fontId="78" fillId="0" borderId="3" xfId="2302" applyFont="1" applyFill="1" applyBorder="1"/>
    <xf numFmtId="164" fontId="78" fillId="89" borderId="0" xfId="1" applyNumberFormat="1" applyFont="1" applyFill="1" applyBorder="1"/>
    <xf numFmtId="0" fontId="77" fillId="0" borderId="3" xfId="2302" applyFont="1" applyFill="1" applyBorder="1" applyAlignment="1">
      <alignment horizontal="left"/>
    </xf>
    <xf numFmtId="0" fontId="77" fillId="89" borderId="0" xfId="2302" applyFont="1" applyFill="1" applyBorder="1"/>
    <xf numFmtId="164" fontId="77" fillId="89" borderId="30" xfId="1" applyNumberFormat="1" applyFont="1" applyFill="1" applyBorder="1"/>
    <xf numFmtId="43" fontId="78" fillId="89" borderId="0" xfId="951" applyNumberFormat="1" applyFont="1" applyFill="1" applyBorder="1"/>
    <xf numFmtId="0" fontId="78" fillId="0" borderId="0" xfId="20918" applyFont="1"/>
    <xf numFmtId="0" fontId="77" fillId="0" borderId="0" xfId="20918" applyFont="1" applyAlignment="1">
      <alignment horizontal="center"/>
    </xf>
    <xf numFmtId="0" fontId="78" fillId="86" borderId="0" xfId="20918" applyFont="1" applyFill="1"/>
    <xf numFmtId="10" fontId="77" fillId="86" borderId="0" xfId="14454" applyNumberFormat="1" applyFont="1" applyFill="1"/>
    <xf numFmtId="0" fontId="79" fillId="86" borderId="0" xfId="20918" applyFont="1" applyFill="1"/>
    <xf numFmtId="43" fontId="78" fillId="86" borderId="21" xfId="20918" applyNumberFormat="1" applyFont="1" applyFill="1" applyBorder="1"/>
    <xf numFmtId="43" fontId="78" fillId="86" borderId="0" xfId="20918" applyNumberFormat="1" applyFont="1" applyFill="1" applyBorder="1"/>
    <xf numFmtId="0" fontId="79" fillId="86" borderId="25" xfId="20918" applyFont="1" applyFill="1" applyBorder="1"/>
    <xf numFmtId="164" fontId="78" fillId="86" borderId="0" xfId="20918" applyNumberFormat="1" applyFont="1" applyFill="1"/>
    <xf numFmtId="164" fontId="78" fillId="0" borderId="24" xfId="20918" applyNumberFormat="1" applyFont="1" applyBorder="1"/>
    <xf numFmtId="164" fontId="78" fillId="0" borderId="0" xfId="20918" applyNumberFormat="1" applyFont="1" applyBorder="1"/>
    <xf numFmtId="39" fontId="78" fillId="0" borderId="0" xfId="20918" applyNumberFormat="1" applyFont="1" applyFill="1" applyBorder="1" applyAlignment="1">
      <alignment horizontal="left"/>
    </xf>
    <xf numFmtId="43" fontId="78" fillId="0" borderId="0" xfId="1" applyFont="1"/>
    <xf numFmtId="43" fontId="78" fillId="0" borderId="24" xfId="20918" applyNumberFormat="1" applyFont="1" applyBorder="1"/>
    <xf numFmtId="43" fontId="78" fillId="0" borderId="0" xfId="20918" applyNumberFormat="1" applyFont="1" applyBorder="1"/>
    <xf numFmtId="43" fontId="78" fillId="87" borderId="24" xfId="20918" applyNumberFormat="1" applyFont="1" applyFill="1" applyBorder="1"/>
    <xf numFmtId="43" fontId="78" fillId="0" borderId="0" xfId="1" applyNumberFormat="1" applyFont="1"/>
    <xf numFmtId="164" fontId="78" fillId="0" borderId="0" xfId="20918" applyNumberFormat="1" applyFont="1"/>
    <xf numFmtId="164" fontId="78" fillId="88" borderId="0" xfId="1" applyNumberFormat="1" applyFont="1" applyFill="1"/>
    <xf numFmtId="164" fontId="77" fillId="0" borderId="0" xfId="20918" applyNumberFormat="1" applyFont="1"/>
    <xf numFmtId="43" fontId="78" fillId="0" borderId="0" xfId="20918" applyNumberFormat="1" applyFont="1"/>
    <xf numFmtId="39" fontId="78" fillId="85" borderId="0" xfId="20918" applyNumberFormat="1" applyFont="1" applyFill="1" applyBorder="1" applyAlignment="1">
      <alignment horizontal="left"/>
    </xf>
    <xf numFmtId="164" fontId="77" fillId="85" borderId="0" xfId="1" applyNumberFormat="1" applyFont="1" applyFill="1" applyBorder="1" applyAlignment="1">
      <alignment horizontal="center"/>
    </xf>
    <xf numFmtId="43" fontId="78" fillId="85" borderId="0" xfId="20918" applyNumberFormat="1" applyFont="1" applyFill="1" applyBorder="1"/>
    <xf numFmtId="164" fontId="78" fillId="0" borderId="0" xfId="1" applyNumberFormat="1" applyFont="1" applyFill="1" applyAlignment="1"/>
    <xf numFmtId="164" fontId="78" fillId="0" borderId="21" xfId="1" applyNumberFormat="1" applyFont="1" applyFill="1" applyBorder="1" applyAlignment="1"/>
    <xf numFmtId="164" fontId="78" fillId="0" borderId="0" xfId="1" applyNumberFormat="1" applyFont="1" applyFill="1" applyBorder="1" applyAlignment="1"/>
    <xf numFmtId="164" fontId="77" fillId="0" borderId="0" xfId="1" applyNumberFormat="1" applyFont="1"/>
    <xf numFmtId="164" fontId="77" fillId="85" borderId="0" xfId="1" applyNumberFormat="1" applyFont="1" applyFill="1" applyBorder="1"/>
    <xf numFmtId="164" fontId="78" fillId="85" borderId="0" xfId="1" applyNumberFormat="1" applyFont="1" applyFill="1" applyBorder="1" applyAlignment="1">
      <alignment horizontal="left"/>
    </xf>
    <xf numFmtId="0" fontId="78" fillId="0" borderId="0" xfId="20918" applyFont="1" applyBorder="1"/>
    <xf numFmtId="164" fontId="78" fillId="88" borderId="0" xfId="1" applyNumberFormat="1" applyFont="1" applyFill="1" applyBorder="1"/>
    <xf numFmtId="43" fontId="78" fillId="0" borderId="24" xfId="1" applyNumberFormat="1" applyFont="1" applyBorder="1"/>
    <xf numFmtId="0" fontId="77" fillId="85" borderId="0" xfId="20918" applyFont="1" applyFill="1"/>
    <xf numFmtId="164" fontId="77" fillId="0" borderId="0" xfId="1" applyNumberFormat="1" applyFont="1" applyAlignment="1"/>
    <xf numFmtId="164" fontId="77" fillId="0" borderId="0" xfId="1" applyNumberFormat="1" applyFont="1" applyAlignment="1">
      <alignment horizontal="right"/>
    </xf>
    <xf numFmtId="0" fontId="77" fillId="0" borderId="0" xfId="20918" applyFont="1" applyBorder="1" applyAlignment="1">
      <alignment horizontal="right"/>
    </xf>
    <xf numFmtId="0" fontId="77" fillId="0" borderId="0" xfId="20918" applyFont="1" applyAlignment="1">
      <alignment horizontal="right"/>
    </xf>
    <xf numFmtId="164" fontId="78" fillId="0" borderId="21" xfId="1" applyNumberFormat="1" applyFont="1" applyBorder="1"/>
    <xf numFmtId="43" fontId="78" fillId="0" borderId="22" xfId="1" applyNumberFormat="1" applyFont="1" applyBorder="1"/>
    <xf numFmtId="2" fontId="78" fillId="0" borderId="22" xfId="20918" applyNumberFormat="1" applyFont="1" applyBorder="1"/>
    <xf numFmtId="2" fontId="78" fillId="0" borderId="0" xfId="20918" applyNumberFormat="1" applyFont="1"/>
    <xf numFmtId="43" fontId="78" fillId="0" borderId="22" xfId="20918" applyNumberFormat="1" applyFont="1" applyBorder="1"/>
    <xf numFmtId="0" fontId="77" fillId="0" borderId="0" xfId="20918" applyFont="1" applyBorder="1"/>
    <xf numFmtId="43" fontId="78" fillId="0" borderId="21" xfId="1" applyNumberFormat="1" applyFont="1" applyBorder="1"/>
    <xf numFmtId="176" fontId="78" fillId="0" borderId="22" xfId="40082" applyNumberFormat="1" applyFont="1" applyBorder="1"/>
    <xf numFmtId="10" fontId="78" fillId="0" borderId="0" xfId="40082" applyNumberFormat="1" applyFont="1" applyBorder="1"/>
    <xf numFmtId="0" fontId="78" fillId="0" borderId="21" xfId="20918" applyFont="1" applyBorder="1"/>
    <xf numFmtId="10" fontId="78" fillId="0" borderId="22" xfId="40082" applyNumberFormat="1" applyFont="1" applyBorder="1"/>
    <xf numFmtId="164" fontId="78" fillId="0" borderId="21" xfId="20918" applyNumberFormat="1" applyFont="1" applyBorder="1"/>
    <xf numFmtId="10" fontId="78" fillId="0" borderId="0" xfId="40082" applyNumberFormat="1" applyFont="1"/>
    <xf numFmtId="164" fontId="78" fillId="0" borderId="42" xfId="20918" applyNumberFormat="1" applyFont="1" applyBorder="1"/>
    <xf numFmtId="164" fontId="77" fillId="0" borderId="42" xfId="1" applyNumberFormat="1" applyFont="1" applyBorder="1"/>
    <xf numFmtId="43" fontId="77" fillId="0" borderId="42" xfId="1" applyFont="1" applyBorder="1"/>
    <xf numFmtId="14" fontId="78" fillId="0" borderId="0" xfId="20918" applyNumberFormat="1" applyFont="1"/>
    <xf numFmtId="14" fontId="78" fillId="92" borderId="0" xfId="20918" applyNumberFormat="1" applyFont="1" applyFill="1"/>
    <xf numFmtId="43" fontId="78" fillId="0" borderId="21" xfId="20918" applyNumberFormat="1" applyFont="1" applyBorder="1"/>
    <xf numFmtId="10" fontId="101" fillId="0" borderId="27" xfId="40082" applyNumberFormat="1" applyFont="1" applyFill="1" applyBorder="1" applyAlignment="1">
      <alignment horizontal="right"/>
    </xf>
    <xf numFmtId="10" fontId="101" fillId="0" borderId="28" xfId="40082" applyNumberFormat="1" applyFont="1" applyFill="1" applyBorder="1" applyAlignment="1"/>
    <xf numFmtId="10" fontId="101" fillId="0" borderId="5" xfId="40082" applyNumberFormat="1" applyFont="1" applyFill="1" applyBorder="1" applyAlignment="1"/>
    <xf numFmtId="10" fontId="101" fillId="0" borderId="27" xfId="40082" applyNumberFormat="1" applyFont="1" applyFill="1" applyBorder="1" applyAlignment="1"/>
    <xf numFmtId="164" fontId="105" fillId="0" borderId="67" xfId="40084" applyNumberFormat="1" applyFont="1" applyFill="1" applyBorder="1" applyAlignment="1">
      <alignment horizontal="right"/>
    </xf>
    <xf numFmtId="164" fontId="101" fillId="35" borderId="57" xfId="40084" applyNumberFormat="1" applyFont="1" applyFill="1" applyBorder="1" applyAlignment="1">
      <alignment horizontal="right"/>
    </xf>
    <xf numFmtId="164" fontId="101" fillId="0" borderId="70" xfId="40084" applyNumberFormat="1" applyFont="1" applyFill="1" applyBorder="1" applyAlignment="1">
      <alignment horizontal="right"/>
    </xf>
    <xf numFmtId="164" fontId="101" fillId="0" borderId="54" xfId="1" applyNumberFormat="1" applyFont="1" applyFill="1" applyBorder="1" applyAlignment="1">
      <alignment horizontal="center" vertical="top" wrapText="1"/>
    </xf>
    <xf numFmtId="164" fontId="120" fillId="0" borderId="0" xfId="0" applyNumberFormat="1" applyFont="1"/>
    <xf numFmtId="164" fontId="36" fillId="0" borderId="0" xfId="1" quotePrefix="1" applyNumberFormat="1" applyFont="1" applyAlignment="1">
      <alignment horizontal="center"/>
    </xf>
    <xf numFmtId="164" fontId="121" fillId="0" borderId="0" xfId="1" applyNumberFormat="1" applyFont="1" applyAlignment="1">
      <alignment horizontal="center"/>
    </xf>
    <xf numFmtId="0" fontId="36" fillId="0" borderId="0" xfId="0" applyFont="1"/>
    <xf numFmtId="164" fontId="0" fillId="0" borderId="21" xfId="1" applyNumberFormat="1" applyFont="1" applyBorder="1"/>
    <xf numFmtId="9" fontId="0" fillId="0" borderId="42" xfId="40082" applyFont="1" applyBorder="1"/>
    <xf numFmtId="14" fontId="36" fillId="0" borderId="0" xfId="1" quotePrefix="1" applyNumberFormat="1" applyFont="1" applyAlignment="1">
      <alignment horizontal="center"/>
    </xf>
    <xf numFmtId="43" fontId="0" fillId="0" borderId="42" xfId="1" applyFont="1" applyBorder="1"/>
    <xf numFmtId="0" fontId="36" fillId="89" borderId="0" xfId="2302" applyFont="1" applyFill="1"/>
    <xf numFmtId="0" fontId="3" fillId="89" borderId="0" xfId="2302" applyFont="1" applyFill="1"/>
    <xf numFmtId="164" fontId="105" fillId="0" borderId="71" xfId="40083" applyNumberFormat="1" applyFont="1" applyFill="1" applyBorder="1"/>
    <xf numFmtId="164" fontId="105" fillId="0" borderId="56" xfId="40083" applyNumberFormat="1" applyFont="1" applyFill="1" applyBorder="1"/>
    <xf numFmtId="164" fontId="101" fillId="0" borderId="56" xfId="40084" applyNumberFormat="1" applyFont="1" applyFill="1" applyBorder="1" applyAlignment="1">
      <alignment horizontal="right"/>
    </xf>
    <xf numFmtId="164" fontId="101" fillId="0" borderId="59" xfId="40083" applyNumberFormat="1" applyFont="1" applyFill="1" applyBorder="1"/>
    <xf numFmtId="164" fontId="101" fillId="35" borderId="60" xfId="40084" applyNumberFormat="1" applyFont="1" applyFill="1" applyBorder="1" applyAlignment="1">
      <alignment horizontal="right"/>
    </xf>
    <xf numFmtId="164" fontId="101" fillId="0" borderId="59" xfId="40084" applyNumberFormat="1" applyFont="1" applyFill="1" applyBorder="1" applyAlignment="1">
      <alignment horizontal="right"/>
    </xf>
    <xf numFmtId="164" fontId="101" fillId="35" borderId="9" xfId="1" applyNumberFormat="1" applyFont="1" applyFill="1" applyBorder="1" applyAlignment="1">
      <alignment horizontal="right"/>
    </xf>
    <xf numFmtId="0" fontId="101" fillId="89" borderId="0" xfId="0" applyFont="1" applyFill="1" applyBorder="1" applyAlignment="1">
      <alignment horizontal="justify" vertical="center"/>
    </xf>
    <xf numFmtId="0" fontId="98" fillId="0" borderId="0" xfId="40102" applyFont="1" applyAlignment="1">
      <alignment vertical="center"/>
    </xf>
    <xf numFmtId="0" fontId="122" fillId="0" borderId="0" xfId="40102" applyFont="1"/>
    <xf numFmtId="0" fontId="97" fillId="0" borderId="0" xfId="40102" applyFont="1" applyAlignment="1">
      <alignment vertical="center"/>
    </xf>
    <xf numFmtId="0" fontId="97" fillId="0" borderId="0" xfId="40102" applyFont="1" applyAlignment="1">
      <alignment vertical="center" wrapText="1"/>
    </xf>
    <xf numFmtId="0" fontId="122" fillId="0" borderId="0" xfId="40102" applyFont="1" applyAlignment="1">
      <alignment wrapText="1"/>
    </xf>
    <xf numFmtId="0" fontId="97" fillId="0" borderId="0" xfId="40102" applyFont="1" applyAlignment="1">
      <alignment horizontal="justify"/>
    </xf>
    <xf numFmtId="0" fontId="97" fillId="0" borderId="0" xfId="40102" applyFont="1"/>
    <xf numFmtId="17" fontId="97" fillId="0" borderId="0" xfId="40102" applyNumberFormat="1" applyFont="1" applyAlignment="1">
      <alignment horizontal="left" vertical="center"/>
    </xf>
    <xf numFmtId="0" fontId="123" fillId="0" borderId="0" xfId="40102" applyFont="1" applyAlignment="1">
      <alignment horizontal="justify" vertical="top" wrapText="1"/>
    </xf>
    <xf numFmtId="0" fontId="97" fillId="0" borderId="0" xfId="40102" applyFont="1" applyAlignment="1">
      <alignment wrapText="1"/>
    </xf>
    <xf numFmtId="0" fontId="98" fillId="0" borderId="0" xfId="40102" applyFont="1" applyAlignment="1">
      <alignment horizontal="justify" vertical="center" wrapText="1"/>
    </xf>
    <xf numFmtId="0" fontId="97" fillId="0" borderId="0" xfId="40102" applyFont="1" applyAlignment="1">
      <alignment horizontal="justify" vertical="center" wrapText="1"/>
    </xf>
    <xf numFmtId="0" fontId="122" fillId="0" borderId="0" xfId="40102" quotePrefix="1" applyFont="1" applyAlignment="1">
      <alignment horizontal="left"/>
    </xf>
    <xf numFmtId="0" fontId="123" fillId="0" borderId="0" xfId="40102" applyFont="1" applyAlignment="1">
      <alignment horizontal="left" vertical="top"/>
    </xf>
    <xf numFmtId="0" fontId="97" fillId="0" borderId="0" xfId="40102" applyFont="1" applyAlignment="1">
      <alignment horizontal="justify" vertical="center"/>
    </xf>
    <xf numFmtId="0" fontId="125" fillId="0" borderId="0" xfId="40103" applyFont="1" applyAlignment="1">
      <alignment vertical="center"/>
    </xf>
    <xf numFmtId="0" fontId="122" fillId="0" borderId="0" xfId="40102" applyFont="1" applyAlignment="1">
      <alignment horizontal="left"/>
    </xf>
    <xf numFmtId="0" fontId="123" fillId="0" borderId="0" xfId="40102" applyFont="1" applyAlignment="1">
      <alignment vertical="center"/>
    </xf>
    <xf numFmtId="0" fontId="97" fillId="0" borderId="0" xfId="40102" applyFont="1" applyAlignment="1">
      <alignment horizontal="left" vertical="center"/>
    </xf>
    <xf numFmtId="0" fontId="123" fillId="0" borderId="0" xfId="40102" applyFont="1"/>
    <xf numFmtId="0" fontId="126" fillId="0" borderId="0" xfId="40102" applyFont="1" applyAlignment="1">
      <alignment vertical="center"/>
    </xf>
    <xf numFmtId="0" fontId="126" fillId="0" borderId="0" xfId="40102" applyFont="1"/>
    <xf numFmtId="0" fontId="122" fillId="0" borderId="0" xfId="40102" applyFont="1" applyAlignment="1">
      <alignment vertical="center"/>
    </xf>
    <xf numFmtId="0" fontId="122" fillId="0" borderId="0" xfId="40102" applyFont="1" applyFill="1" applyAlignment="1">
      <alignment vertical="center"/>
    </xf>
    <xf numFmtId="0" fontId="123" fillId="0" borderId="0" xfId="40102" applyFont="1" applyFill="1" applyAlignment="1">
      <alignment vertical="center"/>
    </xf>
    <xf numFmtId="0" fontId="122" fillId="0" borderId="0" xfId="40102" applyFont="1" applyFill="1"/>
    <xf numFmtId="0" fontId="126" fillId="0" borderId="0" xfId="40102" applyFont="1" applyFill="1" applyAlignment="1">
      <alignment vertical="center"/>
    </xf>
    <xf numFmtId="164" fontId="98" fillId="0" borderId="0" xfId="40065" quotePrefix="1" applyNumberFormat="1" applyFont="1" applyFill="1" applyBorder="1" applyAlignment="1">
      <alignment horizontal="center"/>
    </xf>
    <xf numFmtId="0" fontId="97" fillId="0" borderId="0" xfId="14457" applyFont="1" applyBorder="1" applyAlignment="1">
      <alignment vertical="center"/>
    </xf>
    <xf numFmtId="0" fontId="126" fillId="35" borderId="4" xfId="14458" quotePrefix="1" applyNumberFormat="1" applyFont="1" applyFill="1" applyBorder="1" applyAlignment="1">
      <alignment horizontal="center"/>
    </xf>
    <xf numFmtId="0" fontId="126" fillId="35" borderId="8" xfId="14458" quotePrefix="1" applyNumberFormat="1" applyFont="1" applyFill="1" applyBorder="1" applyAlignment="1">
      <alignment horizontal="center"/>
    </xf>
    <xf numFmtId="164" fontId="126" fillId="35" borderId="7" xfId="14458" quotePrefix="1" applyNumberFormat="1" applyFont="1" applyFill="1" applyBorder="1" applyAlignment="1">
      <alignment horizontal="center"/>
    </xf>
    <xf numFmtId="0" fontId="97" fillId="0" borderId="63" xfId="14457" applyFont="1" applyBorder="1"/>
    <xf numFmtId="0" fontId="98" fillId="0" borderId="63" xfId="14457" applyFont="1" applyBorder="1"/>
    <xf numFmtId="164" fontId="98" fillId="35" borderId="64" xfId="14458" applyNumberFormat="1" applyFont="1" applyFill="1" applyBorder="1"/>
    <xf numFmtId="164" fontId="98" fillId="0" borderId="63" xfId="14458" applyNumberFormat="1" applyFont="1" applyFill="1" applyBorder="1"/>
    <xf numFmtId="174" fontId="97" fillId="0" borderId="63" xfId="14458" applyNumberFormat="1" applyFont="1" applyFill="1" applyBorder="1"/>
    <xf numFmtId="174" fontId="98" fillId="0" borderId="56" xfId="14458" applyNumberFormat="1" applyFont="1" applyFill="1" applyBorder="1"/>
    <xf numFmtId="0" fontId="126" fillId="0" borderId="0" xfId="14458" quotePrefix="1" applyNumberFormat="1" applyFont="1" applyFill="1" applyBorder="1" applyAlignment="1">
      <alignment horizontal="center"/>
    </xf>
    <xf numFmtId="164" fontId="126" fillId="0" borderId="29" xfId="14458" quotePrefix="1" applyNumberFormat="1" applyFont="1" applyFill="1" applyBorder="1" applyAlignment="1">
      <alignment horizontal="center"/>
    </xf>
    <xf numFmtId="0" fontId="98" fillId="0" borderId="54" xfId="40064" applyFont="1" applyFill="1" applyBorder="1"/>
    <xf numFmtId="0" fontId="38" fillId="0" borderId="21" xfId="14457" applyFont="1" applyBorder="1"/>
    <xf numFmtId="164" fontId="38" fillId="0" borderId="21" xfId="14458" applyNumberFormat="1" applyFont="1" applyFill="1" applyBorder="1"/>
    <xf numFmtId="10" fontId="38" fillId="0" borderId="21" xfId="40082" applyNumberFormat="1" applyFont="1" applyFill="1" applyBorder="1"/>
    <xf numFmtId="0" fontId="105" fillId="35" borderId="55" xfId="0" applyFont="1" applyFill="1" applyBorder="1" applyAlignment="1">
      <alignment horizontal="center"/>
    </xf>
    <xf numFmtId="164" fontId="98" fillId="0" borderId="0" xfId="40065" quotePrefix="1" applyNumberFormat="1" applyFont="1" applyFill="1" applyBorder="1" applyAlignment="1">
      <alignment horizontal="center"/>
    </xf>
    <xf numFmtId="0" fontId="98" fillId="0" borderId="0" xfId="40064" applyFont="1" applyFill="1" applyBorder="1" applyAlignment="1">
      <alignment horizontal="center" wrapText="1"/>
    </xf>
    <xf numFmtId="0" fontId="96" fillId="0" borderId="0" xfId="0" applyFont="1" applyFill="1" applyAlignment="1"/>
    <xf numFmtId="164" fontId="101" fillId="0" borderId="52" xfId="1" applyNumberFormat="1" applyFont="1" applyFill="1" applyBorder="1" applyAlignment="1">
      <alignment vertical="center"/>
    </xf>
    <xf numFmtId="43" fontId="101" fillId="0" borderId="52" xfId="1" applyFont="1" applyFill="1" applyBorder="1" applyAlignment="1">
      <alignment vertical="center"/>
    </xf>
    <xf numFmtId="43" fontId="101" fillId="0" borderId="5" xfId="1" applyFont="1" applyFill="1" applyBorder="1" applyAlignment="1">
      <alignment vertical="center"/>
    </xf>
    <xf numFmtId="164" fontId="101" fillId="0" borderId="54" xfId="1" applyNumberFormat="1" applyFont="1" applyFill="1" applyBorder="1" applyAlignment="1">
      <alignment vertical="center"/>
    </xf>
    <xf numFmtId="43" fontId="101" fillId="0" borderId="54" xfId="1" applyFont="1" applyFill="1" applyBorder="1" applyAlignment="1">
      <alignment vertical="center"/>
    </xf>
    <xf numFmtId="164" fontId="101" fillId="0" borderId="5" xfId="1" applyNumberFormat="1" applyFont="1" applyFill="1" applyBorder="1" applyAlignment="1">
      <alignment horizontal="right" vertical="center" wrapText="1"/>
    </xf>
    <xf numFmtId="164" fontId="101" fillId="0" borderId="54" xfId="1" applyNumberFormat="1" applyFont="1" applyFill="1" applyBorder="1" applyAlignment="1">
      <alignment horizontal="center" vertical="center" wrapText="1"/>
    </xf>
    <xf numFmtId="10" fontId="101" fillId="0" borderId="27" xfId="40090" applyNumberFormat="1" applyFont="1" applyFill="1" applyBorder="1" applyAlignment="1"/>
    <xf numFmtId="10" fontId="101" fillId="0" borderId="28" xfId="40090" applyNumberFormat="1" applyFont="1" applyFill="1" applyBorder="1" applyAlignment="1"/>
    <xf numFmtId="10" fontId="101" fillId="0" borderId="5" xfId="40090" applyNumberFormat="1" applyFont="1" applyFill="1" applyBorder="1" applyAlignment="1"/>
    <xf numFmtId="10" fontId="101" fillId="0" borderId="27" xfId="40090" applyNumberFormat="1" applyFont="1" applyFill="1" applyBorder="1" applyAlignment="1">
      <alignment horizontal="right"/>
    </xf>
    <xf numFmtId="43" fontId="101" fillId="0" borderId="54" xfId="1" applyFont="1" applyBorder="1"/>
    <xf numFmtId="164" fontId="101" fillId="0" borderId="0" xfId="2190" applyNumberFormat="1" applyFont="1" applyFill="1" applyBorder="1"/>
    <xf numFmtId="164" fontId="101" fillId="35" borderId="55" xfId="1" applyNumberFormat="1" applyFont="1" applyFill="1" applyBorder="1"/>
    <xf numFmtId="164" fontId="105" fillId="35" borderId="10" xfId="1" applyNumberFormat="1" applyFont="1" applyFill="1" applyBorder="1"/>
    <xf numFmtId="164" fontId="101" fillId="35" borderId="8" xfId="1" applyNumberFormat="1" applyFont="1" applyFill="1" applyBorder="1"/>
    <xf numFmtId="164" fontId="101" fillId="35" borderId="57" xfId="1" applyNumberFormat="1" applyFont="1" applyFill="1" applyBorder="1"/>
    <xf numFmtId="164" fontId="105" fillId="35" borderId="58" xfId="1" applyNumberFormat="1" applyFont="1" applyFill="1" applyBorder="1"/>
    <xf numFmtId="164" fontId="105" fillId="35" borderId="8" xfId="1" applyNumberFormat="1" applyFont="1" applyFill="1" applyBorder="1"/>
    <xf numFmtId="164" fontId="101" fillId="35" borderId="55" xfId="40065" applyNumberFormat="1" applyFont="1" applyFill="1" applyBorder="1"/>
    <xf numFmtId="164" fontId="105" fillId="35" borderId="10" xfId="40065" applyNumberFormat="1" applyFont="1" applyFill="1" applyBorder="1"/>
    <xf numFmtId="164" fontId="101" fillId="35" borderId="8" xfId="40065" applyNumberFormat="1" applyFont="1" applyFill="1" applyBorder="1"/>
    <xf numFmtId="164" fontId="101" fillId="35" borderId="57" xfId="40065" applyNumberFormat="1" applyFont="1" applyFill="1" applyBorder="1"/>
    <xf numFmtId="164" fontId="105" fillId="35" borderId="58" xfId="40065" applyNumberFormat="1" applyFont="1" applyFill="1" applyBorder="1"/>
    <xf numFmtId="164" fontId="105" fillId="35" borderId="8" xfId="40065" applyNumberFormat="1" applyFont="1" applyFill="1" applyBorder="1"/>
    <xf numFmtId="43" fontId="97" fillId="35" borderId="55" xfId="40065" applyNumberFormat="1" applyFont="1" applyFill="1" applyBorder="1" applyAlignment="1">
      <alignment vertical="center"/>
    </xf>
    <xf numFmtId="43" fontId="101" fillId="0" borderId="0" xfId="0" applyNumberFormat="1" applyFont="1"/>
    <xf numFmtId="164" fontId="101" fillId="0" borderId="56" xfId="1" applyNumberFormat="1" applyFont="1" applyFill="1" applyBorder="1" applyAlignment="1">
      <alignment vertical="center"/>
    </xf>
    <xf numFmtId="43" fontId="101" fillId="0" borderId="56" xfId="1" applyFont="1" applyFill="1" applyBorder="1" applyAlignment="1">
      <alignment vertical="center"/>
    </xf>
    <xf numFmtId="164" fontId="105" fillId="0" borderId="0" xfId="40065" applyNumberFormat="1" applyFont="1" applyFill="1" applyBorder="1" applyAlignment="1">
      <alignment vertical="center"/>
    </xf>
    <xf numFmtId="0" fontId="98" fillId="0" borderId="25" xfId="40064" applyFont="1" applyFill="1" applyBorder="1"/>
    <xf numFmtId="0" fontId="98" fillId="0" borderId="25" xfId="40064" applyFont="1" applyFill="1" applyBorder="1" applyAlignment="1">
      <alignment horizontal="center"/>
    </xf>
    <xf numFmtId="164" fontId="98" fillId="0" borderId="25" xfId="40065" applyNumberFormat="1" applyFont="1" applyFill="1" applyBorder="1"/>
    <xf numFmtId="164" fontId="98" fillId="35" borderId="74" xfId="40065" applyNumberFormat="1" applyFont="1" applyFill="1" applyBorder="1"/>
    <xf numFmtId="174" fontId="98" fillId="0" borderId="24" xfId="40065" applyNumberFormat="1" applyFont="1" applyFill="1" applyBorder="1"/>
    <xf numFmtId="174" fontId="98" fillId="0" borderId="29" xfId="40065" applyNumberFormat="1" applyFont="1" applyFill="1" applyBorder="1"/>
    <xf numFmtId="0" fontId="98" fillId="0" borderId="0" xfId="40374" applyFont="1" applyBorder="1"/>
    <xf numFmtId="0" fontId="97" fillId="0" borderId="54" xfId="40374" applyFont="1" applyBorder="1"/>
    <xf numFmtId="0" fontId="97" fillId="0" borderId="0" xfId="40374" applyFont="1" applyBorder="1"/>
    <xf numFmtId="0" fontId="97" fillId="0" borderId="30" xfId="40374" applyFont="1" applyBorder="1"/>
    <xf numFmtId="164" fontId="98" fillId="35" borderId="8" xfId="40208" applyNumberFormat="1" applyFont="1" applyFill="1" applyBorder="1"/>
    <xf numFmtId="164" fontId="98" fillId="0" borderId="0" xfId="40208" applyNumberFormat="1" applyFont="1" applyFill="1" applyBorder="1"/>
    <xf numFmtId="164" fontId="97" fillId="0" borderId="0" xfId="40208" applyNumberFormat="1" applyFont="1" applyFill="1" applyBorder="1"/>
    <xf numFmtId="174" fontId="97" fillId="0" borderId="0" xfId="40090" applyNumberFormat="1" applyFont="1" applyFill="1" applyBorder="1"/>
    <xf numFmtId="164" fontId="97" fillId="35" borderId="55" xfId="40208" applyNumberFormat="1" applyFont="1" applyFill="1" applyBorder="1"/>
    <xf numFmtId="164" fontId="97" fillId="0" borderId="54" xfId="40208" applyNumberFormat="1" applyFont="1" applyFill="1" applyBorder="1"/>
    <xf numFmtId="174" fontId="97" fillId="0" borderId="54" xfId="40208" applyNumberFormat="1" applyFont="1" applyFill="1" applyBorder="1"/>
    <xf numFmtId="164" fontId="97" fillId="35" borderId="8" xfId="40208" applyNumberFormat="1" applyFont="1" applyFill="1" applyBorder="1"/>
    <xf numFmtId="174" fontId="97" fillId="0" borderId="0" xfId="40208" applyNumberFormat="1" applyFont="1" applyFill="1" applyBorder="1"/>
    <xf numFmtId="164" fontId="97" fillId="35" borderId="10" xfId="40208" applyNumberFormat="1" applyFont="1" applyFill="1" applyBorder="1"/>
    <xf numFmtId="164" fontId="97" fillId="0" borderId="30" xfId="40208" applyNumberFormat="1" applyFont="1" applyFill="1" applyBorder="1"/>
    <xf numFmtId="174" fontId="97" fillId="0" borderId="30" xfId="40208" applyNumberFormat="1" applyFont="1" applyFill="1" applyBorder="1"/>
    <xf numFmtId="164" fontId="98" fillId="0" borderId="0" xfId="1" applyNumberFormat="1" applyFont="1" applyFill="1" applyBorder="1"/>
    <xf numFmtId="0" fontId="98" fillId="0" borderId="3" xfId="40374" applyFont="1" applyBorder="1"/>
    <xf numFmtId="0" fontId="98" fillId="0" borderId="24" xfId="40374" applyFont="1" applyBorder="1"/>
    <xf numFmtId="174" fontId="97" fillId="0" borderId="24" xfId="40208" applyNumberFormat="1" applyFont="1" applyFill="1" applyBorder="1"/>
    <xf numFmtId="164" fontId="98" fillId="0" borderId="24" xfId="40208" applyNumberFormat="1" applyFont="1" applyBorder="1"/>
    <xf numFmtId="0" fontId="98" fillId="0" borderId="56" xfId="14457" applyFont="1" applyBorder="1" applyAlignment="1">
      <alignment wrapText="1"/>
    </xf>
    <xf numFmtId="0" fontId="98" fillId="0" borderId="61" xfId="14457" applyFont="1" applyBorder="1" applyAlignment="1">
      <alignment wrapText="1"/>
    </xf>
    <xf numFmtId="164" fontId="101" fillId="0" borderId="0" xfId="1" applyNumberFormat="1" applyFont="1" applyFill="1" applyBorder="1" applyAlignment="1">
      <alignment horizontal="center" vertical="center" wrapText="1"/>
    </xf>
    <xf numFmtId="43" fontId="101" fillId="16" borderId="27" xfId="1" applyFont="1" applyFill="1" applyBorder="1" applyAlignment="1">
      <alignment horizontal="center"/>
    </xf>
    <xf numFmtId="10" fontId="101" fillId="16" borderId="27" xfId="40090" applyNumberFormat="1" applyFont="1" applyFill="1" applyBorder="1" applyAlignment="1">
      <alignment horizontal="right"/>
    </xf>
    <xf numFmtId="10" fontId="101" fillId="16" borderId="28" xfId="40090" applyNumberFormat="1" applyFont="1" applyFill="1" applyBorder="1" applyAlignment="1"/>
    <xf numFmtId="43" fontId="101" fillId="0" borderId="27" xfId="40090" applyNumberFormat="1" applyFont="1" applyFill="1" applyBorder="1" applyAlignment="1">
      <alignment horizontal="right"/>
    </xf>
    <xf numFmtId="43" fontId="101" fillId="0" borderId="28" xfId="40090" applyNumberFormat="1" applyFont="1" applyFill="1" applyBorder="1" applyAlignment="1"/>
    <xf numFmtId="164" fontId="97" fillId="0" borderId="0" xfId="1" applyNumberFormat="1" applyFont="1"/>
    <xf numFmtId="43" fontId="97" fillId="0" borderId="0" xfId="14457" applyNumberFormat="1" applyFont="1"/>
    <xf numFmtId="164" fontId="98" fillId="35" borderId="55" xfId="1" applyNumberFormat="1" applyFont="1" applyFill="1" applyBorder="1"/>
    <xf numFmtId="43" fontId="98" fillId="35" borderId="55" xfId="1" applyFont="1" applyFill="1" applyBorder="1"/>
    <xf numFmtId="164" fontId="98" fillId="35" borderId="74" xfId="40065" applyNumberFormat="1" applyFont="1" applyFill="1" applyBorder="1" applyAlignment="1">
      <alignment vertical="top"/>
    </xf>
    <xf numFmtId="164" fontId="98" fillId="0" borderId="25" xfId="40065" applyNumberFormat="1" applyFont="1" applyFill="1" applyBorder="1" applyAlignment="1">
      <alignment vertical="top"/>
    </xf>
    <xf numFmtId="174" fontId="98" fillId="0" borderId="25" xfId="40065" applyNumberFormat="1" applyFont="1" applyFill="1" applyBorder="1" applyAlignment="1">
      <alignment vertical="top"/>
    </xf>
    <xf numFmtId="174" fontId="98" fillId="0" borderId="75" xfId="40065" applyNumberFormat="1" applyFont="1" applyFill="1" applyBorder="1" applyAlignment="1">
      <alignment vertical="top"/>
    </xf>
    <xf numFmtId="0" fontId="98" fillId="0" borderId="3" xfId="40064" applyFont="1" applyFill="1" applyBorder="1" applyAlignment="1">
      <alignment vertical="center"/>
    </xf>
    <xf numFmtId="0" fontId="101" fillId="0" borderId="0" xfId="2190" applyFont="1" applyFill="1" applyBorder="1"/>
    <xf numFmtId="0" fontId="106" fillId="0" borderId="0" xfId="40064" applyFont="1" applyFill="1" applyAlignment="1">
      <alignment vertical="center"/>
    </xf>
    <xf numFmtId="0" fontId="98" fillId="0" borderId="0" xfId="40064" applyFont="1" applyFill="1" applyAlignment="1">
      <alignment vertical="center"/>
    </xf>
    <xf numFmtId="164" fontId="98" fillId="0" borderId="0" xfId="1" applyNumberFormat="1" applyFont="1"/>
    <xf numFmtId="164" fontId="98" fillId="0" borderId="0" xfId="40065" quotePrefix="1" applyNumberFormat="1" applyFont="1" applyFill="1" applyBorder="1" applyAlignment="1">
      <alignment horizontal="center"/>
    </xf>
    <xf numFmtId="164" fontId="98" fillId="0" borderId="0" xfId="40065" quotePrefix="1" applyNumberFormat="1" applyFont="1" applyFill="1" applyBorder="1" applyAlignment="1">
      <alignment horizontal="center"/>
    </xf>
    <xf numFmtId="0" fontId="98" fillId="0" borderId="0" xfId="40064" applyFont="1" applyFill="1" applyBorder="1" applyAlignment="1">
      <alignment horizontal="center" wrapText="1"/>
    </xf>
    <xf numFmtId="164" fontId="97" fillId="0" borderId="24" xfId="40208" applyNumberFormat="1" applyFont="1" applyFill="1" applyBorder="1"/>
    <xf numFmtId="43" fontId="97" fillId="0" borderId="0" xfId="14457" applyNumberFormat="1" applyFont="1" applyFill="1" applyBorder="1"/>
    <xf numFmtId="174" fontId="97" fillId="0" borderId="24" xfId="1" applyNumberFormat="1" applyFont="1" applyFill="1" applyBorder="1"/>
    <xf numFmtId="164" fontId="98" fillId="0" borderId="0" xfId="40065" quotePrefix="1" applyNumberFormat="1" applyFont="1" applyFill="1" applyBorder="1" applyAlignment="1">
      <alignment horizontal="center"/>
    </xf>
    <xf numFmtId="164" fontId="97" fillId="35" borderId="67" xfId="1" applyNumberFormat="1" applyFont="1" applyFill="1" applyBorder="1" applyAlignment="1">
      <alignment horizontal="right"/>
    </xf>
    <xf numFmtId="164" fontId="97" fillId="35" borderId="65" xfId="1" applyNumberFormat="1" applyFont="1" applyFill="1" applyBorder="1"/>
    <xf numFmtId="164" fontId="97" fillId="35" borderId="68" xfId="1" applyNumberFormat="1" applyFont="1" applyFill="1" applyBorder="1" applyAlignment="1">
      <alignment horizontal="right"/>
    </xf>
    <xf numFmtId="164" fontId="97" fillId="35" borderId="3" xfId="1" applyNumberFormat="1" applyFont="1" applyFill="1" applyBorder="1"/>
    <xf numFmtId="164" fontId="97" fillId="35" borderId="5" xfId="1" applyNumberFormat="1" applyFont="1" applyFill="1" applyBorder="1"/>
    <xf numFmtId="164" fontId="98" fillId="0" borderId="0" xfId="40064" applyNumberFormat="1" applyFont="1" applyFill="1" applyBorder="1"/>
    <xf numFmtId="0" fontId="98" fillId="0" borderId="30" xfId="40374" applyFont="1" applyBorder="1"/>
    <xf numFmtId="0" fontId="101" fillId="0" borderId="0" xfId="20918" applyFont="1" applyBorder="1"/>
    <xf numFmtId="0" fontId="101" fillId="0" borderId="0" xfId="20918" applyFont="1"/>
    <xf numFmtId="0" fontId="105" fillId="0" borderId="0" xfId="20918" applyFont="1" applyFill="1" applyBorder="1" applyAlignment="1">
      <alignment horizontal="center"/>
    </xf>
    <xf numFmtId="0" fontId="101" fillId="0" borderId="27" xfId="20918" applyFont="1" applyBorder="1"/>
    <xf numFmtId="0" fontId="105" fillId="0" borderId="45" xfId="20918" applyFont="1" applyBorder="1"/>
    <xf numFmtId="0" fontId="105" fillId="0" borderId="28" xfId="20918" applyFont="1" applyBorder="1" applyAlignment="1">
      <alignment horizontal="center"/>
    </xf>
    <xf numFmtId="0" fontId="105" fillId="0" borderId="28" xfId="20918" applyFont="1" applyBorder="1"/>
    <xf numFmtId="0" fontId="105" fillId="0" borderId="0" xfId="20918" applyFont="1"/>
    <xf numFmtId="0" fontId="101" fillId="0" borderId="76" xfId="20918" applyFont="1" applyBorder="1"/>
    <xf numFmtId="0" fontId="101" fillId="0" borderId="77" xfId="20918" applyFont="1" applyBorder="1"/>
    <xf numFmtId="0" fontId="101" fillId="0" borderId="78" xfId="20918" applyFont="1" applyBorder="1"/>
    <xf numFmtId="0" fontId="101" fillId="0" borderId="46" xfId="20918" applyFont="1" applyBorder="1"/>
    <xf numFmtId="0" fontId="101" fillId="0" borderId="44" xfId="20918" applyFont="1" applyBorder="1"/>
    <xf numFmtId="43" fontId="101" fillId="0" borderId="47" xfId="1" applyFont="1" applyBorder="1"/>
    <xf numFmtId="0" fontId="101" fillId="0" borderId="47" xfId="20918" applyFont="1" applyBorder="1"/>
    <xf numFmtId="0" fontId="105" fillId="0" borderId="43" xfId="20918" applyFont="1" applyBorder="1"/>
    <xf numFmtId="0" fontId="101" fillId="0" borderId="45" xfId="20918" applyFont="1" applyBorder="1"/>
    <xf numFmtId="0" fontId="101" fillId="0" borderId="50" xfId="20918" applyFont="1" applyBorder="1"/>
    <xf numFmtId="43" fontId="101" fillId="0" borderId="78" xfId="1" applyFont="1" applyBorder="1"/>
    <xf numFmtId="43" fontId="101" fillId="0" borderId="76" xfId="1" applyFont="1" applyBorder="1"/>
    <xf numFmtId="43" fontId="101" fillId="0" borderId="46" xfId="1" applyFont="1" applyBorder="1"/>
    <xf numFmtId="0" fontId="105" fillId="0" borderId="25" xfId="20918" applyFont="1" applyBorder="1"/>
    <xf numFmtId="43" fontId="101" fillId="0" borderId="50" xfId="1" applyFont="1" applyBorder="1"/>
    <xf numFmtId="43" fontId="101" fillId="0" borderId="25" xfId="1" applyFont="1" applyBorder="1"/>
    <xf numFmtId="0" fontId="105" fillId="0" borderId="0" xfId="20918" applyFont="1" applyBorder="1"/>
    <xf numFmtId="0" fontId="101" fillId="0" borderId="77" xfId="20918" applyFont="1" applyFill="1" applyBorder="1"/>
    <xf numFmtId="10" fontId="101" fillId="0" borderId="0" xfId="20918" applyNumberFormat="1" applyFont="1" applyBorder="1"/>
    <xf numFmtId="0" fontId="101" fillId="0" borderId="21" xfId="20918" applyFont="1" applyBorder="1"/>
    <xf numFmtId="0" fontId="105" fillId="0" borderId="77" xfId="20918" applyFont="1" applyBorder="1"/>
    <xf numFmtId="0" fontId="105" fillId="0" borderId="78" xfId="20918" applyFont="1" applyFill="1" applyBorder="1" applyAlignment="1">
      <alignment horizontal="center"/>
    </xf>
    <xf numFmtId="0" fontId="105" fillId="0" borderId="50" xfId="20918" applyFont="1" applyBorder="1" applyAlignment="1">
      <alignment horizontal="center"/>
    </xf>
    <xf numFmtId="0" fontId="105" fillId="0" borderId="0" xfId="20918" applyFont="1" applyBorder="1" applyAlignment="1">
      <alignment horizontal="center"/>
    </xf>
    <xf numFmtId="43" fontId="101" fillId="0" borderId="78" xfId="1" applyFont="1" applyFill="1" applyBorder="1" applyAlignment="1">
      <alignment horizontal="center"/>
    </xf>
    <xf numFmtId="43" fontId="101" fillId="0" borderId="78" xfId="20918" applyNumberFormat="1" applyFont="1" applyBorder="1" applyAlignment="1">
      <alignment horizontal="center"/>
    </xf>
    <xf numFmtId="0" fontId="101" fillId="0" borderId="54" xfId="20918" applyFont="1" applyBorder="1"/>
    <xf numFmtId="43" fontId="101" fillId="0" borderId="47" xfId="1" applyFont="1" applyFill="1" applyBorder="1"/>
    <xf numFmtId="164" fontId="105" fillId="0" borderId="78" xfId="1" applyNumberFormat="1" applyFont="1" applyFill="1" applyBorder="1" applyAlignment="1">
      <alignment horizontal="center"/>
    </xf>
    <xf numFmtId="0" fontId="101" fillId="0" borderId="25" xfId="20918" applyFont="1" applyBorder="1"/>
    <xf numFmtId="164" fontId="101" fillId="0" borderId="50" xfId="1" applyNumberFormat="1" applyFont="1" applyBorder="1"/>
    <xf numFmtId="164" fontId="101" fillId="0" borderId="78" xfId="1" applyNumberFormat="1" applyFont="1" applyFill="1" applyBorder="1" applyAlignment="1">
      <alignment horizontal="center"/>
    </xf>
    <xf numFmtId="164" fontId="101" fillId="0" borderId="78" xfId="1" applyNumberFormat="1" applyFont="1" applyBorder="1"/>
    <xf numFmtId="0" fontId="107" fillId="0" borderId="43" xfId="20918" applyFont="1" applyBorder="1"/>
    <xf numFmtId="0" fontId="100" fillId="0" borderId="25" xfId="20918" applyFont="1" applyBorder="1"/>
    <xf numFmtId="0" fontId="100" fillId="0" borderId="50" xfId="20918" applyFont="1" applyBorder="1"/>
    <xf numFmtId="0" fontId="100" fillId="0" borderId="44" xfId="20918" applyFont="1" applyBorder="1" applyAlignment="1">
      <alignment horizontal="left" vertical="top" wrapText="1"/>
    </xf>
    <xf numFmtId="0" fontId="100" fillId="0" borderId="21" xfId="20918" applyFont="1" applyBorder="1" applyAlignment="1">
      <alignment horizontal="left" vertical="top" wrapText="1"/>
    </xf>
    <xf numFmtId="0" fontId="100" fillId="0" borderId="47" xfId="20918" applyFont="1" applyBorder="1" applyAlignment="1">
      <alignment horizontal="left" vertical="top" wrapText="1"/>
    </xf>
    <xf numFmtId="0" fontId="100" fillId="0" borderId="21" xfId="20918" applyFont="1" applyBorder="1"/>
    <xf numFmtId="0" fontId="100" fillId="0" borderId="77" xfId="20918" applyFont="1" applyBorder="1"/>
    <xf numFmtId="0" fontId="105" fillId="0" borderId="78" xfId="20918" applyFont="1" applyBorder="1" applyAlignment="1">
      <alignment horizontal="center"/>
    </xf>
    <xf numFmtId="39" fontId="100" fillId="0" borderId="44" xfId="20918" applyNumberFormat="1" applyFont="1" applyFill="1" applyBorder="1" applyAlignment="1">
      <alignment horizontal="left"/>
    </xf>
    <xf numFmtId="39" fontId="105" fillId="0" borderId="21" xfId="20918" applyNumberFormat="1" applyFont="1" applyFill="1" applyBorder="1" applyAlignment="1">
      <alignment horizontal="left"/>
    </xf>
    <xf numFmtId="39" fontId="105" fillId="0" borderId="47" xfId="20918" applyNumberFormat="1" applyFont="1" applyFill="1" applyBorder="1" applyAlignment="1">
      <alignment horizontal="left"/>
    </xf>
    <xf numFmtId="0" fontId="105" fillId="0" borderId="21" xfId="20918" applyFont="1" applyBorder="1" applyAlignment="1">
      <alignment horizontal="center"/>
    </xf>
    <xf numFmtId="0" fontId="105" fillId="0" borderId="47" xfId="20918" applyFont="1" applyBorder="1" applyAlignment="1">
      <alignment horizontal="center"/>
    </xf>
    <xf numFmtId="39" fontId="107" fillId="0" borderId="43" xfId="20918" applyNumberFormat="1" applyFont="1" applyFill="1" applyBorder="1" applyAlignment="1">
      <alignment horizontal="left"/>
    </xf>
    <xf numFmtId="39" fontId="101" fillId="0" borderId="25" xfId="20918" applyNumberFormat="1" applyFont="1" applyFill="1" applyBorder="1" applyAlignment="1">
      <alignment horizontal="left"/>
    </xf>
    <xf numFmtId="39" fontId="101" fillId="0" borderId="50" xfId="20918" applyNumberFormat="1" applyFont="1" applyFill="1" applyBorder="1" applyAlignment="1">
      <alignment horizontal="left"/>
    </xf>
    <xf numFmtId="39" fontId="101" fillId="0" borderId="0" xfId="20918" applyNumberFormat="1" applyFont="1" applyFill="1" applyBorder="1" applyAlignment="1">
      <alignment horizontal="left"/>
    </xf>
    <xf numFmtId="39" fontId="101" fillId="0" borderId="78" xfId="20918" applyNumberFormat="1" applyFont="1" applyFill="1" applyBorder="1" applyAlignment="1">
      <alignment horizontal="left"/>
    </xf>
    <xf numFmtId="164" fontId="101" fillId="0" borderId="78" xfId="1" applyNumberFormat="1" applyFont="1" applyFill="1" applyBorder="1" applyAlignment="1"/>
    <xf numFmtId="39" fontId="100" fillId="0" borderId="77" xfId="20918" applyNumberFormat="1" applyFont="1" applyFill="1" applyBorder="1" applyAlignment="1">
      <alignment horizontal="left"/>
    </xf>
    <xf numFmtId="0" fontId="101" fillId="0" borderId="0" xfId="20918" applyFont="1" applyBorder="1" applyAlignment="1">
      <alignment horizontal="left" vertical="top" wrapText="1"/>
    </xf>
    <xf numFmtId="164" fontId="101" fillId="0" borderId="25" xfId="1" applyNumberFormat="1" applyFont="1" applyFill="1" applyBorder="1" applyAlignment="1">
      <alignment horizontal="right"/>
    </xf>
    <xf numFmtId="164" fontId="101" fillId="0" borderId="50" xfId="1" applyNumberFormat="1" applyFont="1" applyFill="1" applyBorder="1" applyAlignment="1"/>
    <xf numFmtId="39" fontId="101" fillId="0" borderId="21" xfId="20918" applyNumberFormat="1" applyFont="1" applyFill="1" applyBorder="1" applyAlignment="1">
      <alignment horizontal="left"/>
    </xf>
    <xf numFmtId="39" fontId="101" fillId="0" borderId="47" xfId="20918" applyNumberFormat="1" applyFont="1" applyFill="1" applyBorder="1" applyAlignment="1">
      <alignment horizontal="left"/>
    </xf>
    <xf numFmtId="164" fontId="101" fillId="0" borderId="21" xfId="1" applyNumberFormat="1" applyFont="1" applyFill="1" applyBorder="1" applyAlignment="1">
      <alignment horizontal="right"/>
    </xf>
    <xf numFmtId="164" fontId="101" fillId="0" borderId="47" xfId="1" applyNumberFormat="1" applyFont="1" applyFill="1" applyBorder="1" applyAlignment="1"/>
    <xf numFmtId="39" fontId="105" fillId="0" borderId="0" xfId="20918" applyNumberFormat="1" applyFont="1" applyFill="1" applyBorder="1" applyAlignment="1">
      <alignment horizontal="left"/>
    </xf>
    <xf numFmtId="37" fontId="101" fillId="0" borderId="0" xfId="20918" applyNumberFormat="1" applyFont="1" applyFill="1" applyBorder="1" applyAlignment="1">
      <alignment horizontal="left"/>
    </xf>
    <xf numFmtId="3" fontId="105" fillId="0" borderId="0" xfId="20918" applyNumberFormat="1" applyFont="1" applyFill="1" applyBorder="1" applyAlignment="1">
      <alignment horizontal="left"/>
    </xf>
    <xf numFmtId="164" fontId="101" fillId="0" borderId="0" xfId="20918" applyNumberFormat="1" applyFont="1" applyBorder="1"/>
    <xf numFmtId="43" fontId="101" fillId="0" borderId="0" xfId="20918" applyNumberFormat="1" applyFont="1" applyBorder="1"/>
    <xf numFmtId="164" fontId="105" fillId="0" borderId="0" xfId="20918" applyNumberFormat="1" applyFont="1" applyBorder="1"/>
    <xf numFmtId="2" fontId="101" fillId="0" borderId="47" xfId="40465" applyNumberFormat="1" applyFont="1" applyFill="1" applyBorder="1"/>
    <xf numFmtId="0" fontId="101" fillId="0" borderId="77" xfId="20918" applyFont="1" applyBorder="1" applyAlignment="1">
      <alignment wrapText="1"/>
    </xf>
    <xf numFmtId="2" fontId="101" fillId="0" borderId="47" xfId="20918" applyNumberFormat="1" applyFont="1" applyFill="1" applyBorder="1"/>
    <xf numFmtId="0" fontId="105" fillId="0" borderId="0" xfId="20918" applyFont="1" applyFill="1" applyAlignment="1">
      <alignment horizontal="center"/>
    </xf>
    <xf numFmtId="0" fontId="96" fillId="0" borderId="0" xfId="20918" applyFont="1" applyFill="1" applyAlignment="1">
      <alignment horizontal="center"/>
    </xf>
    <xf numFmtId="0" fontId="101" fillId="0" borderId="2" xfId="20918" applyFont="1" applyBorder="1"/>
    <xf numFmtId="0" fontId="101" fillId="0" borderId="48" xfId="20918" applyFont="1" applyBorder="1"/>
    <xf numFmtId="0" fontId="101" fillId="0" borderId="49" xfId="20918" applyFont="1" applyBorder="1"/>
    <xf numFmtId="0" fontId="101" fillId="0" borderId="3" xfId="20918" applyFont="1" applyBorder="1"/>
    <xf numFmtId="0" fontId="111" fillId="0" borderId="29" xfId="20918" applyFont="1" applyBorder="1"/>
    <xf numFmtId="0" fontId="101" fillId="0" borderId="29" xfId="20918" applyFont="1" applyBorder="1"/>
    <xf numFmtId="0" fontId="101" fillId="0" borderId="5" xfId="20918" applyFont="1" applyBorder="1"/>
    <xf numFmtId="0" fontId="111" fillId="0" borderId="3" xfId="20918" applyFont="1" applyBorder="1"/>
    <xf numFmtId="0" fontId="105" fillId="35" borderId="4" xfId="20918" applyFont="1" applyFill="1" applyBorder="1" applyAlignment="1">
      <alignment horizontal="right"/>
    </xf>
    <xf numFmtId="0" fontId="105" fillId="0" borderId="0" xfId="20918" applyFont="1" applyBorder="1" applyAlignment="1">
      <alignment horizontal="right"/>
    </xf>
    <xf numFmtId="0" fontId="105" fillId="0" borderId="5" xfId="20918" applyFont="1" applyBorder="1" applyAlignment="1">
      <alignment horizontal="center"/>
    </xf>
    <xf numFmtId="0" fontId="105" fillId="35" borderId="7" xfId="20918" applyFont="1" applyFill="1" applyBorder="1" applyAlignment="1">
      <alignment horizontal="right"/>
    </xf>
    <xf numFmtId="0" fontId="105" fillId="0" borderId="29" xfId="20918" applyFont="1" applyBorder="1" applyAlignment="1">
      <alignment horizontal="right"/>
    </xf>
    <xf numFmtId="0" fontId="101" fillId="0" borderId="52" xfId="20918" applyFont="1" applyBorder="1"/>
    <xf numFmtId="0" fontId="101" fillId="0" borderId="54" xfId="20918" applyFont="1" applyFill="1" applyBorder="1"/>
    <xf numFmtId="0" fontId="101" fillId="0" borderId="56" xfId="20918" applyFont="1" applyBorder="1"/>
    <xf numFmtId="0" fontId="98" fillId="35" borderId="6" xfId="20918" applyFont="1" applyFill="1" applyBorder="1" applyAlignment="1">
      <alignment horizontal="center"/>
    </xf>
    <xf numFmtId="0" fontId="98" fillId="35" borderId="11" xfId="20918" applyFont="1" applyFill="1" applyBorder="1" applyAlignment="1">
      <alignment horizontal="center"/>
    </xf>
    <xf numFmtId="0" fontId="98" fillId="0" borderId="29" xfId="20918" applyFont="1" applyBorder="1" applyAlignment="1">
      <alignment horizontal="center"/>
    </xf>
    <xf numFmtId="0" fontId="98" fillId="0" borderId="5" xfId="20918" applyFont="1" applyBorder="1" applyAlignment="1">
      <alignment horizontal="center"/>
    </xf>
    <xf numFmtId="0" fontId="98" fillId="35" borderId="3" xfId="20918" applyFont="1" applyFill="1" applyBorder="1" applyAlignment="1">
      <alignment horizontal="center"/>
    </xf>
    <xf numFmtId="0" fontId="98" fillId="35" borderId="5" xfId="20918" applyFont="1" applyFill="1" applyBorder="1" applyAlignment="1">
      <alignment horizontal="center"/>
    </xf>
    <xf numFmtId="37" fontId="97" fillId="35" borderId="66" xfId="20918" applyNumberFormat="1" applyFont="1" applyFill="1" applyBorder="1"/>
    <xf numFmtId="0" fontId="105" fillId="0" borderId="30" xfId="20918" applyFont="1" applyBorder="1"/>
    <xf numFmtId="0" fontId="101" fillId="0" borderId="30" xfId="20918" applyFont="1" applyBorder="1"/>
    <xf numFmtId="3" fontId="105" fillId="35" borderId="69" xfId="20918" applyNumberFormat="1" applyFont="1" applyFill="1" applyBorder="1" applyAlignment="1">
      <alignment horizontal="right" vertical="top" wrapText="1"/>
    </xf>
    <xf numFmtId="3" fontId="105" fillId="35" borderId="12" xfId="20918" applyNumberFormat="1" applyFont="1" applyFill="1" applyBorder="1" applyAlignment="1">
      <alignment horizontal="right" vertical="top" wrapText="1"/>
    </xf>
    <xf numFmtId="3" fontId="105" fillId="0" borderId="30" xfId="20918" applyNumberFormat="1" applyFont="1" applyFill="1" applyBorder="1" applyAlignment="1">
      <alignment horizontal="right" vertical="top" wrapText="1"/>
    </xf>
    <xf numFmtId="3" fontId="105" fillId="0" borderId="5" xfId="20918" applyNumberFormat="1" applyFont="1" applyFill="1" applyBorder="1" applyAlignment="1">
      <alignment horizontal="right" vertical="top" wrapText="1"/>
    </xf>
    <xf numFmtId="3" fontId="105" fillId="35" borderId="6" xfId="20918" applyNumberFormat="1" applyFont="1" applyFill="1" applyBorder="1" applyAlignment="1">
      <alignment horizontal="right" vertical="top" wrapText="1"/>
    </xf>
    <xf numFmtId="3" fontId="105" fillId="35" borderId="11" xfId="20918" applyNumberFormat="1" applyFont="1" applyFill="1" applyBorder="1" applyAlignment="1">
      <alignment horizontal="right" vertical="top" wrapText="1"/>
    </xf>
    <xf numFmtId="3" fontId="105" fillId="0" borderId="0" xfId="20918" applyNumberFormat="1" applyFont="1" applyFill="1" applyBorder="1" applyAlignment="1">
      <alignment horizontal="right" vertical="top" wrapText="1"/>
    </xf>
    <xf numFmtId="0" fontId="101" fillId="0" borderId="6" xfId="20918" applyFont="1" applyBorder="1"/>
    <xf numFmtId="0" fontId="101" fillId="0" borderId="11" xfId="20918" applyFont="1" applyBorder="1"/>
    <xf numFmtId="0" fontId="99" fillId="0" borderId="0" xfId="20918" applyFont="1" applyFill="1" applyAlignment="1">
      <alignment horizontal="center"/>
    </xf>
    <xf numFmtId="0" fontId="105" fillId="0" borderId="29" xfId="20918" applyFont="1" applyBorder="1"/>
    <xf numFmtId="0" fontId="101" fillId="0" borderId="56" xfId="20918" applyFont="1" applyBorder="1" applyAlignment="1">
      <alignment vertical="center"/>
    </xf>
    <xf numFmtId="0" fontId="105" fillId="0" borderId="23" xfId="20918" applyFont="1" applyFill="1" applyBorder="1" applyAlignment="1">
      <alignment horizontal="left"/>
    </xf>
    <xf numFmtId="0" fontId="98" fillId="0" borderId="23" xfId="20918" applyFont="1" applyFill="1" applyBorder="1" applyAlignment="1">
      <alignment horizontal="left"/>
    </xf>
    <xf numFmtId="0" fontId="105" fillId="0" borderId="23" xfId="20918" applyFont="1" applyFill="1" applyBorder="1" applyAlignment="1">
      <alignment horizontal="center"/>
    </xf>
    <xf numFmtId="0" fontId="105" fillId="0" borderId="5" xfId="20918" applyFont="1" applyFill="1" applyBorder="1" applyAlignment="1">
      <alignment horizontal="center"/>
    </xf>
    <xf numFmtId="0" fontId="101" fillId="0" borderId="3" xfId="20918" applyFont="1" applyFill="1" applyBorder="1" applyAlignment="1">
      <alignment vertical="center"/>
    </xf>
    <xf numFmtId="0" fontId="101" fillId="0" borderId="52" xfId="20918" quotePrefix="1" applyFont="1" applyFill="1" applyBorder="1" applyAlignment="1">
      <alignment horizontal="center" vertical="top"/>
    </xf>
    <xf numFmtId="0" fontId="101" fillId="0" borderId="52" xfId="20918" applyFont="1" applyFill="1" applyBorder="1" applyAlignment="1">
      <alignment vertical="center"/>
    </xf>
    <xf numFmtId="0" fontId="101" fillId="0" borderId="0" xfId="20918" applyFont="1" applyFill="1" applyAlignment="1">
      <alignment vertical="center"/>
    </xf>
    <xf numFmtId="0" fontId="101" fillId="0" borderId="56" xfId="20918" quotePrefix="1" applyFont="1" applyFill="1" applyBorder="1" applyAlignment="1">
      <alignment horizontal="center" vertical="top"/>
    </xf>
    <xf numFmtId="0" fontId="101" fillId="0" borderId="56" xfId="20918" applyFont="1" applyFill="1" applyBorder="1" applyAlignment="1">
      <alignment vertical="center"/>
    </xf>
    <xf numFmtId="0" fontId="101" fillId="0" borderId="54" xfId="20918" quotePrefix="1" applyFont="1" applyFill="1" applyBorder="1" applyAlignment="1">
      <alignment horizontal="center" vertical="top"/>
    </xf>
    <xf numFmtId="0" fontId="101" fillId="0" borderId="54" xfId="20918" applyFont="1" applyFill="1" applyBorder="1" applyAlignment="1">
      <alignment vertical="center"/>
    </xf>
    <xf numFmtId="0" fontId="101" fillId="0" borderId="54" xfId="20918" applyFont="1" applyFill="1" applyBorder="1" applyAlignment="1">
      <alignment horizontal="left" vertical="center" wrapText="1"/>
    </xf>
    <xf numFmtId="0" fontId="101" fillId="0" borderId="54" xfId="20918" applyFont="1" applyFill="1" applyBorder="1" applyAlignment="1">
      <alignment vertical="center" wrapText="1"/>
    </xf>
    <xf numFmtId="10" fontId="101" fillId="0" borderId="0" xfId="20918" applyNumberFormat="1" applyFont="1" applyFill="1" applyBorder="1"/>
    <xf numFmtId="166" fontId="101" fillId="0" borderId="5" xfId="20918" applyNumberFormat="1" applyFont="1" applyFill="1" applyBorder="1"/>
    <xf numFmtId="0" fontId="105" fillId="0" borderId="29" xfId="20918" applyFont="1" applyFill="1" applyBorder="1"/>
    <xf numFmtId="164" fontId="101" fillId="0" borderId="29" xfId="20918" applyNumberFormat="1" applyFont="1" applyFill="1" applyBorder="1"/>
    <xf numFmtId="43" fontId="101" fillId="0" borderId="29" xfId="20918" applyNumberFormat="1" applyFont="1" applyFill="1" applyBorder="1"/>
    <xf numFmtId="0" fontId="101" fillId="0" borderId="5" xfId="20918" applyFont="1" applyFill="1" applyBorder="1" applyAlignment="1">
      <alignment vertical="center"/>
    </xf>
    <xf numFmtId="0" fontId="101" fillId="0" borderId="3" xfId="20918" applyFont="1" applyBorder="1" applyAlignment="1">
      <alignment vertical="center"/>
    </xf>
    <xf numFmtId="0" fontId="101" fillId="0" borderId="0" xfId="20918" applyFont="1" applyAlignment="1">
      <alignment vertical="center"/>
    </xf>
    <xf numFmtId="0" fontId="105" fillId="0" borderId="23" xfId="20918" applyFont="1" applyFill="1" applyBorder="1" applyAlignment="1"/>
    <xf numFmtId="0" fontId="105" fillId="0" borderId="5" xfId="20918" applyFont="1" applyFill="1" applyBorder="1" applyAlignment="1">
      <alignment horizontal="left"/>
    </xf>
    <xf numFmtId="0" fontId="101" fillId="0" borderId="54" xfId="20918" applyFont="1" applyFill="1" applyBorder="1" applyAlignment="1">
      <alignment horizontal="left" vertical="center"/>
    </xf>
    <xf numFmtId="0" fontId="101" fillId="0" borderId="0" xfId="20918" applyFont="1" applyFill="1" applyBorder="1" applyAlignment="1">
      <alignment horizontal="left" vertical="center" wrapText="1"/>
    </xf>
    <xf numFmtId="0" fontId="101" fillId="0" borderId="0" xfId="20918" applyFont="1" applyFill="1" applyBorder="1" applyAlignment="1">
      <alignment vertical="center"/>
    </xf>
    <xf numFmtId="0" fontId="112" fillId="0" borderId="0" xfId="20918" applyFont="1" applyFill="1" applyAlignment="1">
      <alignment horizontal="center"/>
    </xf>
    <xf numFmtId="0" fontId="105" fillId="0" borderId="29" xfId="20918" applyFont="1" applyBorder="1" applyAlignment="1"/>
    <xf numFmtId="0" fontId="105" fillId="0" borderId="5" xfId="20918" applyFont="1" applyBorder="1" applyAlignment="1"/>
    <xf numFmtId="0" fontId="105" fillId="0" borderId="0" xfId="20918" applyFont="1" applyBorder="1" applyAlignment="1"/>
    <xf numFmtId="0" fontId="105" fillId="0" borderId="43" xfId="20918" applyFont="1" applyFill="1" applyBorder="1" applyAlignment="1">
      <alignment horizontal="center"/>
    </xf>
    <xf numFmtId="0" fontId="105" fillId="0" borderId="43" xfId="20918" applyFont="1" applyBorder="1" applyAlignment="1">
      <alignment horizontal="center"/>
    </xf>
    <xf numFmtId="0" fontId="105" fillId="0" borderId="5" xfId="20918" applyFont="1" applyBorder="1" applyAlignment="1">
      <alignment horizontal="right"/>
    </xf>
    <xf numFmtId="0" fontId="105" fillId="0" borderId="44" xfId="20918" applyFont="1" applyFill="1" applyBorder="1" applyAlignment="1">
      <alignment horizontal="center"/>
    </xf>
    <xf numFmtId="0" fontId="105" fillId="0" borderId="44" xfId="20918" applyFont="1" applyBorder="1" applyAlignment="1">
      <alignment horizontal="center"/>
    </xf>
    <xf numFmtId="0" fontId="101" fillId="16" borderId="27" xfId="20918" applyFont="1" applyFill="1" applyBorder="1"/>
    <xf numFmtId="0" fontId="101" fillId="0" borderId="27" xfId="20918" applyFont="1" applyFill="1" applyBorder="1"/>
    <xf numFmtId="0" fontId="101" fillId="16" borderId="0" xfId="20918" applyFont="1" applyFill="1"/>
    <xf numFmtId="0" fontId="101" fillId="0" borderId="0" xfId="20918" applyFont="1" applyBorder="1" applyAlignment="1">
      <alignment wrapText="1"/>
    </xf>
    <xf numFmtId="0" fontId="105" fillId="0" borderId="43" xfId="20918" applyFont="1" applyFill="1" applyBorder="1" applyAlignment="1">
      <alignment horizontal="right"/>
    </xf>
    <xf numFmtId="0" fontId="105" fillId="0" borderId="43" xfId="20918" applyFont="1" applyBorder="1" applyAlignment="1">
      <alignment horizontal="right"/>
    </xf>
    <xf numFmtId="0" fontId="105" fillId="0" borderId="44" xfId="20918" applyFont="1" applyFill="1" applyBorder="1" applyAlignment="1">
      <alignment horizontal="right"/>
    </xf>
    <xf numFmtId="0" fontId="105" fillId="0" borderId="44" xfId="20918" applyFont="1" applyBorder="1" applyAlignment="1">
      <alignment horizontal="right"/>
    </xf>
    <xf numFmtId="0" fontId="105" fillId="0" borderId="29" xfId="20918" applyFont="1" applyBorder="1" applyAlignment="1">
      <alignment wrapText="1"/>
    </xf>
    <xf numFmtId="0" fontId="105" fillId="0" borderId="0" xfId="20918" applyFont="1" applyBorder="1" applyAlignment="1">
      <alignment wrapText="1"/>
    </xf>
    <xf numFmtId="0" fontId="105" fillId="0" borderId="26" xfId="20918" applyFont="1" applyBorder="1" applyAlignment="1">
      <alignment vertical="center" wrapText="1"/>
    </xf>
    <xf numFmtId="0" fontId="101" fillId="0" borderId="28" xfId="20918" applyFont="1" applyBorder="1"/>
    <xf numFmtId="0" fontId="101" fillId="0" borderId="26" xfId="20918" applyFont="1" applyBorder="1"/>
    <xf numFmtId="0" fontId="101" fillId="16" borderId="26" xfId="20918" applyFont="1" applyFill="1" applyBorder="1"/>
    <xf numFmtId="0" fontId="101" fillId="16" borderId="28" xfId="20918" applyFont="1" applyFill="1" applyBorder="1"/>
    <xf numFmtId="0" fontId="101" fillId="0" borderId="26" xfId="20918" applyFont="1" applyFill="1" applyBorder="1"/>
    <xf numFmtId="0" fontId="101" fillId="0" borderId="28" xfId="20918" applyFont="1" applyFill="1" applyBorder="1"/>
    <xf numFmtId="0" fontId="101" fillId="0" borderId="52" xfId="20918" applyFont="1" applyFill="1" applyBorder="1"/>
    <xf numFmtId="10" fontId="105" fillId="0" borderId="52" xfId="20918" applyNumberFormat="1" applyFont="1" applyFill="1" applyBorder="1"/>
    <xf numFmtId="10" fontId="105" fillId="0" borderId="54" xfId="20918" applyNumberFormat="1" applyFont="1" applyFill="1" applyBorder="1"/>
    <xf numFmtId="10" fontId="98" fillId="0" borderId="54" xfId="20918" applyNumberFormat="1" applyFont="1" applyFill="1" applyBorder="1"/>
    <xf numFmtId="0" fontId="105" fillId="0" borderId="54" xfId="20918" applyNumberFormat="1" applyFont="1" applyFill="1" applyBorder="1"/>
    <xf numFmtId="0" fontId="101" fillId="0" borderId="54" xfId="20918" applyNumberFormat="1" applyFont="1" applyBorder="1"/>
    <xf numFmtId="0" fontId="101" fillId="0" borderId="5" xfId="20918" applyNumberFormat="1" applyFont="1" applyBorder="1"/>
    <xf numFmtId="10" fontId="105" fillId="0" borderId="54" xfId="20918" applyNumberFormat="1" applyFont="1" applyFill="1" applyBorder="1" applyAlignment="1">
      <alignment horizontal="right"/>
    </xf>
    <xf numFmtId="10" fontId="105" fillId="0" borderId="54" xfId="20918" applyNumberFormat="1" applyFont="1" applyFill="1" applyBorder="1" applyAlignment="1">
      <alignment horizontal="center"/>
    </xf>
    <xf numFmtId="0" fontId="105" fillId="0" borderId="54" xfId="20918" applyFont="1" applyBorder="1" applyAlignment="1">
      <alignment horizontal="center"/>
    </xf>
    <xf numFmtId="0" fontId="105" fillId="0" borderId="54" xfId="20918" applyFont="1" applyFill="1" applyBorder="1" applyAlignment="1">
      <alignment horizontal="center"/>
    </xf>
    <xf numFmtId="0" fontId="105" fillId="0" borderId="26" xfId="20918" applyFont="1" applyBorder="1" applyAlignment="1">
      <alignment vertical="center"/>
    </xf>
    <xf numFmtId="0" fontId="105" fillId="0" borderId="27" xfId="20918" applyFont="1" applyBorder="1" applyAlignment="1">
      <alignment horizontal="right" vertical="center" wrapText="1"/>
    </xf>
    <xf numFmtId="0" fontId="105" fillId="0" borderId="5" xfId="20918" applyFont="1" applyBorder="1" applyAlignment="1">
      <alignment horizontal="right" vertical="center" wrapText="1"/>
    </xf>
    <xf numFmtId="0" fontId="105" fillId="0" borderId="0" xfId="20918" applyFont="1" applyAlignment="1">
      <alignment wrapText="1"/>
    </xf>
    <xf numFmtId="0" fontId="101" fillId="0" borderId="0" xfId="20918" applyFont="1" applyAlignment="1">
      <alignment horizontal="left" vertical="top" wrapText="1"/>
    </xf>
    <xf numFmtId="0" fontId="105" fillId="0" borderId="0" xfId="20918" applyFont="1" applyFill="1" applyAlignment="1">
      <alignment horizontal="right"/>
    </xf>
    <xf numFmtId="0" fontId="101" fillId="0" borderId="0" xfId="20918" applyFont="1" applyAlignment="1">
      <alignment horizontal="left" vertical="center" wrapText="1"/>
    </xf>
    <xf numFmtId="2" fontId="101" fillId="0" borderId="78" xfId="1" applyNumberFormat="1" applyFont="1" applyBorder="1"/>
    <xf numFmtId="43" fontId="101" fillId="0" borderId="44" xfId="20918" applyNumberFormat="1" applyFont="1" applyBorder="1" applyAlignment="1">
      <alignment horizontal="right"/>
    </xf>
    <xf numFmtId="164" fontId="97" fillId="35" borderId="60" xfId="1" applyNumberFormat="1" applyFont="1" applyFill="1" applyBorder="1"/>
    <xf numFmtId="164" fontId="97" fillId="0" borderId="59" xfId="1" applyNumberFormat="1" applyFont="1" applyFill="1" applyBorder="1"/>
    <xf numFmtId="174" fontId="97" fillId="0" borderId="59" xfId="1" applyNumberFormat="1" applyFont="1" applyFill="1" applyBorder="1"/>
    <xf numFmtId="174" fontId="97" fillId="0" borderId="59" xfId="14458" applyNumberFormat="1" applyFont="1" applyFill="1" applyBorder="1"/>
    <xf numFmtId="164" fontId="98" fillId="35" borderId="8" xfId="1" applyNumberFormat="1" applyFont="1" applyFill="1" applyBorder="1"/>
    <xf numFmtId="174" fontId="97" fillId="0" borderId="30" xfId="1" applyNumberFormat="1" applyFont="1" applyFill="1" applyBorder="1"/>
    <xf numFmtId="0" fontId="105" fillId="0" borderId="27" xfId="20918" applyFont="1" applyBorder="1" applyAlignment="1">
      <alignment horizontal="center"/>
    </xf>
    <xf numFmtId="0" fontId="78" fillId="0" borderId="0" xfId="40318" applyFont="1" applyFill="1" applyAlignment="1">
      <alignment horizontal="left"/>
    </xf>
    <xf numFmtId="14" fontId="101" fillId="0" borderId="0" xfId="2190" applyNumberFormat="1" applyFont="1" applyFill="1" applyBorder="1" applyAlignment="1">
      <alignment horizontal="left"/>
    </xf>
    <xf numFmtId="0" fontId="40" fillId="0" borderId="0" xfId="0" applyFont="1" applyBorder="1" applyAlignment="1">
      <alignment horizontal="center"/>
    </xf>
    <xf numFmtId="0" fontId="41" fillId="0" borderId="0" xfId="0" applyFont="1" applyBorder="1" applyAlignment="1">
      <alignment horizontal="center"/>
    </xf>
    <xf numFmtId="0" fontId="43" fillId="0" borderId="0" xfId="0" applyFont="1" applyBorder="1" applyAlignment="1">
      <alignment horizontal="center"/>
    </xf>
    <xf numFmtId="0" fontId="101" fillId="0" borderId="0" xfId="0" applyFont="1" applyBorder="1" applyAlignment="1">
      <alignment horizontal="left" vertical="center" wrapText="1"/>
    </xf>
    <xf numFmtId="0" fontId="101" fillId="0" borderId="0" xfId="0" applyFont="1" applyBorder="1" applyAlignment="1">
      <alignment horizontal="left" wrapText="1"/>
    </xf>
    <xf numFmtId="0" fontId="96" fillId="0" borderId="0" xfId="0" applyFont="1" applyFill="1" applyBorder="1" applyAlignment="1">
      <alignment horizontal="center"/>
    </xf>
    <xf numFmtId="0" fontId="101" fillId="0" borderId="0" xfId="2190" applyFont="1" applyBorder="1" applyAlignment="1">
      <alignment horizontal="justify" vertical="top" wrapText="1"/>
    </xf>
    <xf numFmtId="164" fontId="98" fillId="0" borderId="0" xfId="40065" applyNumberFormat="1" applyFont="1" applyFill="1" applyBorder="1" applyAlignment="1">
      <alignment horizontal="center"/>
    </xf>
    <xf numFmtId="164" fontId="98" fillId="0" borderId="0" xfId="40065" quotePrefix="1" applyNumberFormat="1" applyFont="1" applyFill="1" applyBorder="1" applyAlignment="1">
      <alignment horizontal="center"/>
    </xf>
    <xf numFmtId="0" fontId="98" fillId="0" borderId="0" xfId="40064" applyFont="1" applyFill="1" applyBorder="1" applyAlignment="1">
      <alignment horizontal="center" wrapText="1"/>
    </xf>
    <xf numFmtId="0" fontId="96" fillId="0" borderId="0" xfId="0" applyFont="1" applyFill="1" applyBorder="1" applyAlignment="1">
      <alignment horizontal="center" vertical="top"/>
    </xf>
    <xf numFmtId="0" fontId="133" fillId="0" borderId="0" xfId="0" applyFont="1" applyFill="1" applyBorder="1" applyAlignment="1">
      <alignment horizontal="left" vertical="top"/>
    </xf>
    <xf numFmtId="0" fontId="109" fillId="0" borderId="0" xfId="0" applyFont="1" applyFill="1" applyBorder="1" applyAlignment="1">
      <alignment horizontal="left" vertical="top"/>
    </xf>
    <xf numFmtId="0" fontId="98" fillId="0" borderId="0" xfId="14457" applyFont="1" applyBorder="1" applyAlignment="1">
      <alignment horizontal="center" wrapText="1"/>
    </xf>
    <xf numFmtId="0" fontId="98" fillId="0" borderId="0" xfId="14457" applyFont="1" applyFill="1" applyBorder="1" applyAlignment="1">
      <alignment horizontal="center" wrapText="1"/>
    </xf>
    <xf numFmtId="43" fontId="101" fillId="0" borderId="26" xfId="1" applyFont="1" applyFill="1" applyBorder="1" applyAlignment="1">
      <alignment horizontal="center" wrapText="1"/>
    </xf>
    <xf numFmtId="43" fontId="101" fillId="0" borderId="24" xfId="1" applyFont="1" applyFill="1" applyBorder="1" applyAlignment="1">
      <alignment horizontal="center" wrapText="1"/>
    </xf>
    <xf numFmtId="43" fontId="101" fillId="0" borderId="28" xfId="1" applyFont="1" applyFill="1" applyBorder="1" applyAlignment="1">
      <alignment horizontal="center" wrapText="1"/>
    </xf>
    <xf numFmtId="0" fontId="105" fillId="0" borderId="0" xfId="20918" applyFont="1" applyFill="1" applyBorder="1" applyAlignment="1">
      <alignment horizontal="left"/>
    </xf>
    <xf numFmtId="0" fontId="105" fillId="0" borderId="45" xfId="20918" applyFont="1" applyBorder="1" applyAlignment="1">
      <alignment horizontal="left" vertical="center"/>
    </xf>
    <xf numFmtId="0" fontId="105" fillId="0" borderId="46" xfId="20918" applyFont="1" applyBorder="1" applyAlignment="1">
      <alignment horizontal="left" vertical="center"/>
    </xf>
    <xf numFmtId="43" fontId="101" fillId="16" borderId="26" xfId="1" applyFont="1" applyFill="1" applyBorder="1" applyAlignment="1">
      <alignment horizontal="center" wrapText="1"/>
    </xf>
    <xf numFmtId="43" fontId="101" fillId="16" borderId="24" xfId="1" applyFont="1" applyFill="1" applyBorder="1" applyAlignment="1">
      <alignment horizontal="center" wrapText="1"/>
    </xf>
    <xf numFmtId="43" fontId="101" fillId="16" borderId="28" xfId="1" applyFont="1" applyFill="1" applyBorder="1" applyAlignment="1">
      <alignment horizontal="center" wrapText="1"/>
    </xf>
    <xf numFmtId="0" fontId="101" fillId="0" borderId="0" xfId="20918" applyFont="1" applyAlignment="1">
      <alignment horizontal="left" vertical="center" wrapText="1"/>
    </xf>
    <xf numFmtId="43" fontId="101" fillId="0" borderId="46" xfId="1" applyFont="1" applyFill="1" applyBorder="1" applyAlignment="1">
      <alignment horizontal="center"/>
    </xf>
    <xf numFmtId="43" fontId="101" fillId="0" borderId="21" xfId="1" applyFont="1" applyFill="1" applyBorder="1" applyAlignment="1">
      <alignment horizontal="center"/>
    </xf>
    <xf numFmtId="43" fontId="101" fillId="0" borderId="47" xfId="1" applyFont="1" applyFill="1" applyBorder="1" applyAlignment="1">
      <alignment horizontal="center"/>
    </xf>
    <xf numFmtId="43" fontId="101" fillId="0" borderId="26" xfId="1" applyFont="1" applyFill="1" applyBorder="1" applyAlignment="1">
      <alignment horizontal="center"/>
    </xf>
    <xf numFmtId="43" fontId="101" fillId="0" borderId="24" xfId="1" applyFont="1" applyFill="1" applyBorder="1" applyAlignment="1">
      <alignment horizontal="center"/>
    </xf>
    <xf numFmtId="43" fontId="101" fillId="0" borderId="28" xfId="1" applyFont="1" applyFill="1" applyBorder="1" applyAlignment="1">
      <alignment horizontal="center"/>
    </xf>
    <xf numFmtId="0" fontId="101" fillId="16" borderId="0" xfId="20918" applyFont="1" applyFill="1" applyAlignment="1">
      <alignment horizontal="justify" vertical="top" wrapText="1"/>
    </xf>
    <xf numFmtId="0" fontId="101" fillId="0" borderId="0" xfId="20918" applyFont="1" applyAlignment="1">
      <alignment horizontal="center"/>
    </xf>
    <xf numFmtId="0" fontId="109" fillId="0" borderId="0" xfId="20918" applyFont="1" applyFill="1" applyAlignment="1">
      <alignment horizontal="left"/>
    </xf>
    <xf numFmtId="0" fontId="105" fillId="35" borderId="2" xfId="20918" applyFont="1" applyFill="1" applyBorder="1" applyAlignment="1">
      <alignment horizontal="center"/>
    </xf>
    <xf numFmtId="0" fontId="105" fillId="35" borderId="49" xfId="20918" applyFont="1" applyFill="1" applyBorder="1" applyAlignment="1">
      <alignment horizontal="center"/>
    </xf>
    <xf numFmtId="0" fontId="105" fillId="0" borderId="3" xfId="20918" applyFont="1" applyBorder="1" applyAlignment="1">
      <alignment horizontal="center"/>
    </xf>
    <xf numFmtId="0" fontId="105" fillId="0" borderId="0" xfId="20918" applyFont="1" applyBorder="1" applyAlignment="1">
      <alignment horizontal="center"/>
    </xf>
    <xf numFmtId="0" fontId="89" fillId="0" borderId="0" xfId="0" applyFont="1" applyFill="1" applyBorder="1" applyAlignment="1">
      <alignment horizontal="center" vertical="top" wrapText="1"/>
    </xf>
    <xf numFmtId="0" fontId="93" fillId="0" borderId="0" xfId="0" applyFont="1" applyFill="1" applyBorder="1" applyAlignment="1">
      <alignment horizontal="center" vertical="top"/>
    </xf>
    <xf numFmtId="0" fontId="98" fillId="0" borderId="0" xfId="40064" applyFont="1" applyBorder="1" applyAlignment="1">
      <alignment horizontal="left" vertical="center"/>
    </xf>
    <xf numFmtId="164" fontId="98" fillId="0" borderId="0" xfId="40065" applyNumberFormat="1" applyFont="1" applyFill="1" applyBorder="1" applyAlignment="1">
      <alignment horizontal="center" vertical="center" wrapText="1"/>
    </xf>
    <xf numFmtId="0" fontId="96" fillId="0" borderId="0" xfId="40064" applyFont="1" applyFill="1" applyAlignment="1">
      <alignment horizontal="center"/>
    </xf>
    <xf numFmtId="164" fontId="98" fillId="0" borderId="0" xfId="40065" applyNumberFormat="1" applyFont="1" applyBorder="1" applyAlignment="1">
      <alignment horizontal="center" vertical="center" wrapText="1"/>
    </xf>
    <xf numFmtId="164" fontId="98" fillId="0" borderId="29" xfId="40065" applyNumberFormat="1" applyFont="1" applyBorder="1" applyAlignment="1">
      <alignment horizontal="center" vertical="center" wrapText="1"/>
    </xf>
    <xf numFmtId="0" fontId="0" fillId="0" borderId="0" xfId="0" applyAlignment="1">
      <alignment horizontal="center" wrapText="1"/>
    </xf>
    <xf numFmtId="0" fontId="96" fillId="0" borderId="0" xfId="40091" applyFont="1" applyFill="1" applyAlignment="1">
      <alignment horizontal="center"/>
    </xf>
    <xf numFmtId="164" fontId="98" fillId="0" borderId="0" xfId="40092" applyNumberFormat="1" applyFont="1" applyFill="1" applyBorder="1" applyAlignment="1">
      <alignment horizontal="center" wrapText="1"/>
    </xf>
    <xf numFmtId="164" fontId="105" fillId="0" borderId="0" xfId="40083" applyNumberFormat="1" applyFont="1" applyFill="1" applyBorder="1" applyAlignment="1">
      <alignment horizontal="center"/>
    </xf>
    <xf numFmtId="0" fontId="105" fillId="0" borderId="0" xfId="0" applyFont="1" applyAlignment="1">
      <alignment horizontal="center"/>
    </xf>
    <xf numFmtId="0" fontId="101" fillId="0" borderId="0" xfId="0" applyFont="1" applyAlignment="1">
      <alignment horizontal="center"/>
    </xf>
    <xf numFmtId="0" fontId="105" fillId="35" borderId="2" xfId="0" applyFont="1" applyFill="1" applyBorder="1" applyAlignment="1">
      <alignment horizontal="center"/>
    </xf>
    <xf numFmtId="0" fontId="105" fillId="35" borderId="49" xfId="0" applyFont="1" applyFill="1" applyBorder="1" applyAlignment="1">
      <alignment horizontal="center"/>
    </xf>
    <xf numFmtId="0" fontId="105" fillId="0" borderId="0" xfId="0" applyFont="1" applyBorder="1" applyAlignment="1">
      <alignment horizontal="center"/>
    </xf>
    <xf numFmtId="0" fontId="96" fillId="0" borderId="0" xfId="0" applyFont="1" applyFill="1" applyAlignment="1">
      <alignment horizontal="center"/>
    </xf>
    <xf numFmtId="0" fontId="105" fillId="35" borderId="0" xfId="0" applyFont="1" applyFill="1" applyAlignment="1">
      <alignment horizontal="center"/>
    </xf>
    <xf numFmtId="0" fontId="101" fillId="0" borderId="0" xfId="0" applyFont="1" applyBorder="1" applyAlignment="1">
      <alignment horizontal="justify" vertical="center"/>
    </xf>
    <xf numFmtId="0" fontId="101" fillId="0" borderId="54" xfId="0" applyFont="1" applyFill="1" applyBorder="1" applyAlignment="1">
      <alignment horizontal="left" wrapText="1"/>
    </xf>
    <xf numFmtId="0" fontId="101" fillId="0" borderId="52" xfId="0" applyFont="1" applyFill="1" applyBorder="1" applyAlignment="1">
      <alignment horizontal="left" wrapText="1"/>
    </xf>
    <xf numFmtId="0" fontId="101" fillId="0" borderId="0" xfId="0" applyFont="1" applyAlignment="1">
      <alignment horizontal="justify" vertical="justify"/>
    </xf>
    <xf numFmtId="0" fontId="101" fillId="0" borderId="0" xfId="0" applyFont="1" applyFill="1" applyBorder="1" applyAlignment="1">
      <alignment horizontal="justify" vertical="center"/>
    </xf>
    <xf numFmtId="0" fontId="101" fillId="0" borderId="0" xfId="0" applyFont="1" applyBorder="1" applyAlignment="1">
      <alignment horizontal="justify" vertical="top"/>
    </xf>
    <xf numFmtId="0" fontId="101" fillId="0" borderId="0" xfId="0" applyFont="1" applyAlignment="1">
      <alignment horizontal="justify" vertical="top"/>
    </xf>
    <xf numFmtId="0" fontId="101" fillId="89" borderId="0" xfId="0" applyFont="1" applyFill="1" applyBorder="1" applyAlignment="1">
      <alignment horizontal="justify" vertical="center"/>
    </xf>
    <xf numFmtId="0" fontId="101" fillId="89" borderId="0" xfId="0" applyFont="1" applyFill="1" applyBorder="1" applyAlignment="1">
      <alignment horizontal="justify" vertical="top" wrapText="1"/>
    </xf>
    <xf numFmtId="0" fontId="101" fillId="0" borderId="0" xfId="0" applyFont="1" applyAlignment="1">
      <alignment horizontal="left" vertical="center" wrapText="1"/>
    </xf>
    <xf numFmtId="0" fontId="105" fillId="0" borderId="45" xfId="0" applyFont="1" applyBorder="1" applyAlignment="1">
      <alignment horizontal="left" vertical="center"/>
    </xf>
    <xf numFmtId="0" fontId="105" fillId="0" borderId="46" xfId="0" applyFont="1" applyBorder="1" applyAlignment="1">
      <alignment horizontal="left" vertical="center"/>
    </xf>
    <xf numFmtId="0" fontId="101" fillId="0" borderId="26" xfId="0" applyFont="1" applyBorder="1" applyAlignment="1">
      <alignment horizontal="center"/>
    </xf>
    <xf numFmtId="0" fontId="101" fillId="0" borderId="28" xfId="0" applyFont="1" applyBorder="1" applyAlignment="1">
      <alignment horizontal="center"/>
    </xf>
    <xf numFmtId="0" fontId="112" fillId="0" borderId="0" xfId="0" applyFont="1" applyFill="1" applyAlignment="1">
      <alignment horizontal="center"/>
    </xf>
    <xf numFmtId="0" fontId="101" fillId="0" borderId="0" xfId="0" applyFont="1" applyAlignment="1">
      <alignment horizontal="justify" vertical="top" wrapText="1"/>
    </xf>
    <xf numFmtId="0" fontId="127" fillId="0" borderId="0" xfId="40102" applyFont="1" applyAlignment="1">
      <alignment horizontal="center" vertical="center"/>
    </xf>
    <xf numFmtId="0" fontId="101" fillId="0" borderId="0" xfId="2190" applyFont="1" applyBorder="1" applyAlignment="1">
      <alignment horizontal="justify" vertical="center" wrapText="1"/>
    </xf>
    <xf numFmtId="0" fontId="98" fillId="0" borderId="25" xfId="40064" applyFont="1" applyFill="1" applyBorder="1" applyAlignment="1">
      <alignment horizontal="left" wrapText="1"/>
    </xf>
    <xf numFmtId="0" fontId="98" fillId="0" borderId="75" xfId="40064" applyFont="1" applyFill="1" applyBorder="1" applyAlignment="1">
      <alignment horizontal="left" wrapText="1"/>
    </xf>
    <xf numFmtId="0" fontId="97" fillId="0" borderId="54" xfId="40064" applyFont="1" applyFill="1" applyBorder="1" applyAlignment="1">
      <alignment horizontal="left" wrapText="1"/>
    </xf>
    <xf numFmtId="0" fontId="97" fillId="0" borderId="68" xfId="40064" applyFont="1" applyFill="1" applyBorder="1" applyAlignment="1">
      <alignment horizontal="left" wrapText="1"/>
    </xf>
    <xf numFmtId="0" fontId="101" fillId="0" borderId="54" xfId="20918" applyFont="1" applyFill="1" applyBorder="1" applyAlignment="1">
      <alignment horizontal="left" vertical="center" wrapText="1"/>
    </xf>
    <xf numFmtId="0" fontId="101" fillId="0" borderId="52" xfId="20918" applyFont="1" applyFill="1" applyBorder="1" applyAlignment="1">
      <alignment horizontal="justify" vertical="center" wrapText="1"/>
    </xf>
    <xf numFmtId="0" fontId="101" fillId="0" borderId="54" xfId="20918" applyFont="1" applyFill="1" applyBorder="1" applyAlignment="1">
      <alignment horizontal="justify" vertical="top" wrapText="1"/>
    </xf>
    <xf numFmtId="164" fontId="77" fillId="0" borderId="0" xfId="1" applyNumberFormat="1" applyFont="1" applyAlignment="1">
      <alignment horizontal="center"/>
    </xf>
    <xf numFmtId="0" fontId="77" fillId="0" borderId="0" xfId="20918" applyFont="1" applyAlignment="1">
      <alignment horizontal="center"/>
    </xf>
    <xf numFmtId="0" fontId="14" fillId="15" borderId="0" xfId="14457" applyFont="1" applyFill="1" applyAlignment="1">
      <alignment horizontal="center"/>
    </xf>
    <xf numFmtId="0" fontId="38" fillId="15" borderId="0" xfId="14457" applyFont="1" applyFill="1" applyAlignment="1">
      <alignment horizontal="center"/>
    </xf>
    <xf numFmtId="0" fontId="38" fillId="0" borderId="29" xfId="14457" applyFont="1" applyBorder="1" applyAlignment="1">
      <alignment horizontal="center" wrapText="1"/>
    </xf>
    <xf numFmtId="0" fontId="38" fillId="0" borderId="29" xfId="14457" applyFont="1" applyFill="1" applyBorder="1" applyAlignment="1">
      <alignment horizontal="center" wrapText="1"/>
    </xf>
    <xf numFmtId="0" fontId="15" fillId="0" borderId="0" xfId="2190" applyFont="1"/>
    <xf numFmtId="0" fontId="14" fillId="15" borderId="0" xfId="40064" applyFont="1" applyFill="1" applyAlignment="1">
      <alignment horizontal="center"/>
    </xf>
    <xf numFmtId="0" fontId="38" fillId="15" borderId="0" xfId="40064" applyFont="1" applyFill="1" applyAlignment="1">
      <alignment horizontal="center"/>
    </xf>
    <xf numFmtId="0" fontId="38" fillId="0" borderId="0" xfId="40064" applyFont="1" applyFill="1" applyBorder="1" applyAlignment="1">
      <alignment horizontal="center" wrapText="1"/>
    </xf>
    <xf numFmtId="164" fontId="38" fillId="0" borderId="29" xfId="40065" applyNumberFormat="1" applyFont="1" applyFill="1" applyBorder="1" applyAlignment="1">
      <alignment horizontal="center"/>
    </xf>
    <xf numFmtId="164" fontId="38" fillId="0" borderId="29" xfId="40065" quotePrefix="1" applyNumberFormat="1" applyFont="1" applyFill="1" applyBorder="1" applyAlignment="1">
      <alignment horizontal="center"/>
    </xf>
    <xf numFmtId="0" fontId="38" fillId="0" borderId="29" xfId="40064" applyFont="1" applyFill="1" applyBorder="1" applyAlignment="1">
      <alignment horizontal="center" wrapText="1"/>
    </xf>
    <xf numFmtId="0" fontId="15" fillId="0" borderId="0" xfId="2190" applyFont="1" applyAlignment="1">
      <alignment horizontal="justify" vertical="top" wrapText="1"/>
    </xf>
    <xf numFmtId="0" fontId="38" fillId="0" borderId="0" xfId="40064" applyFont="1" applyBorder="1" applyAlignment="1">
      <alignment horizontal="left" vertical="center"/>
    </xf>
    <xf numFmtId="164" fontId="38" fillId="0" borderId="0" xfId="40065" applyNumberFormat="1" applyFont="1" applyBorder="1" applyAlignment="1">
      <alignment horizontal="center" vertical="center" wrapText="1"/>
    </xf>
    <xf numFmtId="164" fontId="38" fillId="0" borderId="29" xfId="40065" applyNumberFormat="1" applyFont="1" applyBorder="1" applyAlignment="1">
      <alignment horizontal="center" vertical="center" wrapText="1"/>
    </xf>
    <xf numFmtId="164" fontId="38" fillId="0" borderId="0" xfId="40065" applyNumberFormat="1" applyFont="1" applyFill="1" applyBorder="1" applyAlignment="1">
      <alignment horizontal="center" vertical="center" wrapText="1"/>
    </xf>
    <xf numFmtId="0" fontId="22" fillId="15" borderId="0" xfId="40064" applyFont="1" applyFill="1" applyAlignment="1">
      <alignment horizontal="center"/>
    </xf>
    <xf numFmtId="0" fontId="81" fillId="15" borderId="0" xfId="40064" applyFont="1" applyFill="1" applyAlignment="1">
      <alignment horizontal="center"/>
    </xf>
    <xf numFmtId="164" fontId="38" fillId="0" borderId="29" xfId="40065" applyNumberFormat="1" applyFont="1" applyFill="1" applyBorder="1" applyAlignment="1">
      <alignment horizontal="center" wrapText="1"/>
    </xf>
    <xf numFmtId="0" fontId="38" fillId="0" borderId="29" xfId="40094" applyFont="1" applyFill="1" applyBorder="1" applyAlignment="1">
      <alignment horizontal="center" wrapText="1"/>
    </xf>
    <xf numFmtId="0" fontId="14" fillId="15" borderId="0" xfId="40094" applyFont="1" applyFill="1" applyAlignment="1">
      <alignment horizontal="center"/>
    </xf>
    <xf numFmtId="0" fontId="38" fillId="15" borderId="0" xfId="40094" applyFont="1" applyFill="1" applyAlignment="1">
      <alignment horizontal="center"/>
    </xf>
    <xf numFmtId="0" fontId="38" fillId="0" borderId="0" xfId="40094" applyFont="1" applyFill="1" applyBorder="1" applyAlignment="1">
      <alignment horizontal="center" wrapText="1"/>
    </xf>
    <xf numFmtId="164" fontId="38" fillId="0" borderId="29" xfId="40095" applyNumberFormat="1" applyFont="1" applyFill="1" applyBorder="1" applyAlignment="1">
      <alignment horizontal="center"/>
    </xf>
    <xf numFmtId="164" fontId="38" fillId="0" borderId="29" xfId="40095" quotePrefix="1" applyNumberFormat="1" applyFont="1" applyFill="1" applyBorder="1" applyAlignment="1">
      <alignment horizontal="center"/>
    </xf>
    <xf numFmtId="164" fontId="14" fillId="15" borderId="0" xfId="40083" applyNumberFormat="1" applyFont="1" applyFill="1" applyBorder="1" applyAlignment="1">
      <alignment horizontal="center"/>
    </xf>
    <xf numFmtId="164" fontId="16" fillId="15" borderId="0" xfId="40083" applyNumberFormat="1" applyFont="1" applyFill="1" applyBorder="1" applyAlignment="1">
      <alignment horizontal="center"/>
    </xf>
    <xf numFmtId="164" fontId="16" fillId="0" borderId="21" xfId="40083" applyNumberFormat="1" applyFont="1" applyFill="1" applyBorder="1" applyAlignment="1">
      <alignment horizontal="center"/>
    </xf>
    <xf numFmtId="0" fontId="16" fillId="0" borderId="26" xfId="0" applyFont="1" applyBorder="1" applyAlignment="1">
      <alignment horizontal="center"/>
    </xf>
    <xf numFmtId="0" fontId="16" fillId="0" borderId="28" xfId="0" applyFont="1" applyBorder="1" applyAlignment="1">
      <alignment horizontal="center"/>
    </xf>
    <xf numFmtId="0" fontId="105" fillId="0" borderId="26" xfId="20918" applyFont="1" applyBorder="1" applyAlignment="1">
      <alignment horizontal="center"/>
    </xf>
    <xf numFmtId="0" fontId="105" fillId="0" borderId="28" xfId="20918" applyFont="1" applyBorder="1" applyAlignment="1">
      <alignment horizontal="center"/>
    </xf>
    <xf numFmtId="164" fontId="131" fillId="0" borderId="46" xfId="1" applyNumberFormat="1" applyFont="1" applyFill="1" applyBorder="1" applyAlignment="1">
      <alignment horizontal="center" wrapText="1"/>
    </xf>
    <xf numFmtId="164" fontId="131" fillId="0" borderId="47" xfId="1" applyNumberFormat="1" applyFont="1" applyFill="1" applyBorder="1" applyAlignment="1">
      <alignment horizontal="center" wrapText="1"/>
    </xf>
    <xf numFmtId="0" fontId="131" fillId="0" borderId="46" xfId="20918" applyFont="1" applyBorder="1" applyAlignment="1">
      <alignment horizontal="center" wrapText="1"/>
    </xf>
    <xf numFmtId="0" fontId="131" fillId="0" borderId="47" xfId="20918" applyFont="1" applyBorder="1" applyAlignment="1">
      <alignment horizontal="center" wrapText="1"/>
    </xf>
  </cellXfs>
  <cellStyles count="40466">
    <cellStyle name="20% - Accent1 10" xfId="14460"/>
    <cellStyle name="20% - Accent1 10 2" xfId="14461"/>
    <cellStyle name="20% - Accent1 10 3" xfId="14462"/>
    <cellStyle name="20% - Accent1 10 4" xfId="14463"/>
    <cellStyle name="20% - Accent1 10 5" xfId="14464"/>
    <cellStyle name="20% - Accent1 11" xfId="14465"/>
    <cellStyle name="20% - Accent1 11 2" xfId="14466"/>
    <cellStyle name="20% - Accent1 11 3" xfId="14467"/>
    <cellStyle name="20% - Accent1 12" xfId="14468"/>
    <cellStyle name="20% - Accent1 13" xfId="14469"/>
    <cellStyle name="20% - Accent1 13 2" xfId="14470"/>
    <cellStyle name="20% - Accent1 13 3" xfId="14471"/>
    <cellStyle name="20% - Accent1 14" xfId="14472"/>
    <cellStyle name="20% - Accent1 15" xfId="40105"/>
    <cellStyle name="20% - Accent1 16" xfId="40106"/>
    <cellStyle name="20% - Accent1 17" xfId="40107"/>
    <cellStyle name="20% - Accent1 2" xfId="2"/>
    <cellStyle name="20% - Accent1 2 10" xfId="14473"/>
    <cellStyle name="20% - Accent1 2 11" xfId="14474"/>
    <cellStyle name="20% - Accent1 2 12" xfId="14475"/>
    <cellStyle name="20% - Accent1 2 2" xfId="3"/>
    <cellStyle name="20% - Accent1 2 2 2" xfId="4"/>
    <cellStyle name="20% - Accent1 2 2 2 2" xfId="5"/>
    <cellStyle name="20% - Accent1 2 2 2 2 2" xfId="14476"/>
    <cellStyle name="20% - Accent1 2 2 2 2 2 2" xfId="14477"/>
    <cellStyle name="20% - Accent1 2 2 2 2 2 3" xfId="14478"/>
    <cellStyle name="20% - Accent1 2 2 2 2 2 4" xfId="14479"/>
    <cellStyle name="20% - Accent1 2 2 2 2 3" xfId="14480"/>
    <cellStyle name="20% - Accent1 2 2 2 2 4" xfId="14481"/>
    <cellStyle name="20% - Accent1 2 2 2 2 5" xfId="14482"/>
    <cellStyle name="20% - Accent1 2 2 2 3" xfId="6"/>
    <cellStyle name="20% - Accent1 2 2 2 3 2" xfId="14483"/>
    <cellStyle name="20% - Accent1 2 2 2 3 2 2" xfId="14484"/>
    <cellStyle name="20% - Accent1 2 2 2 3 2 3" xfId="14485"/>
    <cellStyle name="20% - Accent1 2 2 2 3 2 4" xfId="14486"/>
    <cellStyle name="20% - Accent1 2 2 2 3 3" xfId="14487"/>
    <cellStyle name="20% - Accent1 2 2 2 3 4" xfId="14488"/>
    <cellStyle name="20% - Accent1 2 2 2 3 5" xfId="14489"/>
    <cellStyle name="20% - Accent1 2 2 2 4" xfId="14490"/>
    <cellStyle name="20% - Accent1 2 2 2 4 2" xfId="14491"/>
    <cellStyle name="20% - Accent1 2 2 2 4 3" xfId="14492"/>
    <cellStyle name="20% - Accent1 2 2 2 4 4" xfId="14493"/>
    <cellStyle name="20% - Accent1 2 2 2 5" xfId="14494"/>
    <cellStyle name="20% - Accent1 2 2 2 6" xfId="14495"/>
    <cellStyle name="20% - Accent1 2 2 2 7" xfId="14496"/>
    <cellStyle name="20% - Accent1 2 2 3" xfId="7"/>
    <cellStyle name="20% - Accent1 2 2 3 2" xfId="14497"/>
    <cellStyle name="20% - Accent1 2 2 3 2 2" xfId="14498"/>
    <cellStyle name="20% - Accent1 2 2 3 2 3" xfId="14499"/>
    <cellStyle name="20% - Accent1 2 2 3 2 4" xfId="14500"/>
    <cellStyle name="20% - Accent1 2 2 3 3" xfId="14501"/>
    <cellStyle name="20% - Accent1 2 2 3 4" xfId="14502"/>
    <cellStyle name="20% - Accent1 2 2 3 5" xfId="14503"/>
    <cellStyle name="20% - Accent1 2 2 4" xfId="8"/>
    <cellStyle name="20% - Accent1 2 2 4 2" xfId="14504"/>
    <cellStyle name="20% - Accent1 2 2 4 2 2" xfId="14505"/>
    <cellStyle name="20% - Accent1 2 2 4 2 3" xfId="14506"/>
    <cellStyle name="20% - Accent1 2 2 4 2 4" xfId="14507"/>
    <cellStyle name="20% - Accent1 2 2 4 3" xfId="14508"/>
    <cellStyle name="20% - Accent1 2 2 4 4" xfId="14509"/>
    <cellStyle name="20% - Accent1 2 2 4 5" xfId="14510"/>
    <cellStyle name="20% - Accent1 2 2 5" xfId="14511"/>
    <cellStyle name="20% - Accent1 2 2 5 2" xfId="14512"/>
    <cellStyle name="20% - Accent1 2 2 5 3" xfId="14513"/>
    <cellStyle name="20% - Accent1 2 2 5 4" xfId="14514"/>
    <cellStyle name="20% - Accent1 2 2 6" xfId="14515"/>
    <cellStyle name="20% - Accent1 2 2 7" xfId="14516"/>
    <cellStyle name="20% - Accent1 2 2 8" xfId="14517"/>
    <cellStyle name="20% - Accent1 2 2 9" xfId="14518"/>
    <cellStyle name="20% - Accent1 2 3" xfId="9"/>
    <cellStyle name="20% - Accent1 2 3 2" xfId="10"/>
    <cellStyle name="20% - Accent1 2 3 2 2" xfId="14519"/>
    <cellStyle name="20% - Accent1 2 3 2 2 2" xfId="14520"/>
    <cellStyle name="20% - Accent1 2 3 2 2 3" xfId="14521"/>
    <cellStyle name="20% - Accent1 2 3 2 2 4" xfId="14522"/>
    <cellStyle name="20% - Accent1 2 3 2 3" xfId="14523"/>
    <cellStyle name="20% - Accent1 2 3 2 4" xfId="14524"/>
    <cellStyle name="20% - Accent1 2 3 2 5" xfId="14525"/>
    <cellStyle name="20% - Accent1 2 3 3" xfId="11"/>
    <cellStyle name="20% - Accent1 2 3 3 2" xfId="14526"/>
    <cellStyle name="20% - Accent1 2 3 3 2 2" xfId="14527"/>
    <cellStyle name="20% - Accent1 2 3 3 2 3" xfId="14528"/>
    <cellStyle name="20% - Accent1 2 3 3 2 4" xfId="14529"/>
    <cellStyle name="20% - Accent1 2 3 3 3" xfId="14530"/>
    <cellStyle name="20% - Accent1 2 3 3 4" xfId="14531"/>
    <cellStyle name="20% - Accent1 2 3 3 5" xfId="14532"/>
    <cellStyle name="20% - Accent1 2 3 4" xfId="14533"/>
    <cellStyle name="20% - Accent1 2 3 4 2" xfId="14534"/>
    <cellStyle name="20% - Accent1 2 3 4 3" xfId="14535"/>
    <cellStyle name="20% - Accent1 2 3 4 4" xfId="14536"/>
    <cellStyle name="20% - Accent1 2 3 5" xfId="14537"/>
    <cellStyle name="20% - Accent1 2 3 6" xfId="14538"/>
    <cellStyle name="20% - Accent1 2 3 7" xfId="14539"/>
    <cellStyle name="20% - Accent1 2 3 8" xfId="14540"/>
    <cellStyle name="20% - Accent1 2 4" xfId="12"/>
    <cellStyle name="20% - Accent1 2 4 2" xfId="14541"/>
    <cellStyle name="20% - Accent1 2 4 2 2" xfId="14542"/>
    <cellStyle name="20% - Accent1 2 4 2 3" xfId="14543"/>
    <cellStyle name="20% - Accent1 2 4 2 4" xfId="14544"/>
    <cellStyle name="20% - Accent1 2 4 3" xfId="14545"/>
    <cellStyle name="20% - Accent1 2 4 4" xfId="14546"/>
    <cellStyle name="20% - Accent1 2 4 5" xfId="14547"/>
    <cellStyle name="20% - Accent1 2 4 6" xfId="14548"/>
    <cellStyle name="20% - Accent1 2 5" xfId="13"/>
    <cellStyle name="20% - Accent1 2 5 2" xfId="14549"/>
    <cellStyle name="20% - Accent1 2 5 2 2" xfId="14550"/>
    <cellStyle name="20% - Accent1 2 5 2 3" xfId="14551"/>
    <cellStyle name="20% - Accent1 2 5 2 4" xfId="14552"/>
    <cellStyle name="20% - Accent1 2 5 3" xfId="14553"/>
    <cellStyle name="20% - Accent1 2 5 4" xfId="14554"/>
    <cellStyle name="20% - Accent1 2 5 5" xfId="14555"/>
    <cellStyle name="20% - Accent1 2 5 6" xfId="14556"/>
    <cellStyle name="20% - Accent1 2 6" xfId="14557"/>
    <cellStyle name="20% - Accent1 2 6 2" xfId="14558"/>
    <cellStyle name="20% - Accent1 2 6 3" xfId="14559"/>
    <cellStyle name="20% - Accent1 2 6 4" xfId="14560"/>
    <cellStyle name="20% - Accent1 2 7" xfId="14561"/>
    <cellStyle name="20% - Accent1 2 8" xfId="14562"/>
    <cellStyle name="20% - Accent1 2 9" xfId="14563"/>
    <cellStyle name="20% - Accent1 3" xfId="14"/>
    <cellStyle name="20% - Accent1 3 10" xfId="14564"/>
    <cellStyle name="20% - Accent1 3 11" xfId="14565"/>
    <cellStyle name="20% - Accent1 3 2" xfId="15"/>
    <cellStyle name="20% - Accent1 3 2 2" xfId="16"/>
    <cellStyle name="20% - Accent1 3 2 2 2" xfId="17"/>
    <cellStyle name="20% - Accent1 3 2 2 2 2" xfId="14566"/>
    <cellStyle name="20% - Accent1 3 2 2 2 2 2" xfId="14567"/>
    <cellStyle name="20% - Accent1 3 2 2 2 2 3" xfId="14568"/>
    <cellStyle name="20% - Accent1 3 2 2 2 2 4" xfId="14569"/>
    <cellStyle name="20% - Accent1 3 2 2 2 3" xfId="14570"/>
    <cellStyle name="20% - Accent1 3 2 2 2 4" xfId="14571"/>
    <cellStyle name="20% - Accent1 3 2 2 2 5" xfId="14572"/>
    <cellStyle name="20% - Accent1 3 2 2 3" xfId="18"/>
    <cellStyle name="20% - Accent1 3 2 2 3 2" xfId="14573"/>
    <cellStyle name="20% - Accent1 3 2 2 3 2 2" xfId="14574"/>
    <cellStyle name="20% - Accent1 3 2 2 3 2 3" xfId="14575"/>
    <cellStyle name="20% - Accent1 3 2 2 3 2 4" xfId="14576"/>
    <cellStyle name="20% - Accent1 3 2 2 3 3" xfId="14577"/>
    <cellStyle name="20% - Accent1 3 2 2 3 4" xfId="14578"/>
    <cellStyle name="20% - Accent1 3 2 2 3 5" xfId="14579"/>
    <cellStyle name="20% - Accent1 3 2 2 4" xfId="14580"/>
    <cellStyle name="20% - Accent1 3 2 2 4 2" xfId="14581"/>
    <cellStyle name="20% - Accent1 3 2 2 4 3" xfId="14582"/>
    <cellStyle name="20% - Accent1 3 2 2 4 4" xfId="14583"/>
    <cellStyle name="20% - Accent1 3 2 2 5" xfId="14584"/>
    <cellStyle name="20% - Accent1 3 2 2 6" xfId="14585"/>
    <cellStyle name="20% - Accent1 3 2 2 7" xfId="14586"/>
    <cellStyle name="20% - Accent1 3 2 3" xfId="19"/>
    <cellStyle name="20% - Accent1 3 2 3 2" xfId="14587"/>
    <cellStyle name="20% - Accent1 3 2 3 2 2" xfId="14588"/>
    <cellStyle name="20% - Accent1 3 2 3 2 3" xfId="14589"/>
    <cellStyle name="20% - Accent1 3 2 3 2 4" xfId="14590"/>
    <cellStyle name="20% - Accent1 3 2 3 3" xfId="14591"/>
    <cellStyle name="20% - Accent1 3 2 3 4" xfId="14592"/>
    <cellStyle name="20% - Accent1 3 2 3 5" xfId="14593"/>
    <cellStyle name="20% - Accent1 3 2 4" xfId="20"/>
    <cellStyle name="20% - Accent1 3 2 4 2" xfId="14594"/>
    <cellStyle name="20% - Accent1 3 2 4 2 2" xfId="14595"/>
    <cellStyle name="20% - Accent1 3 2 4 2 3" xfId="14596"/>
    <cellStyle name="20% - Accent1 3 2 4 2 4" xfId="14597"/>
    <cellStyle name="20% - Accent1 3 2 4 3" xfId="14598"/>
    <cellStyle name="20% - Accent1 3 2 4 4" xfId="14599"/>
    <cellStyle name="20% - Accent1 3 2 4 5" xfId="14600"/>
    <cellStyle name="20% - Accent1 3 2 5" xfId="14601"/>
    <cellStyle name="20% - Accent1 3 2 5 2" xfId="14602"/>
    <cellStyle name="20% - Accent1 3 2 5 3" xfId="14603"/>
    <cellStyle name="20% - Accent1 3 2 5 4" xfId="14604"/>
    <cellStyle name="20% - Accent1 3 2 6" xfId="14605"/>
    <cellStyle name="20% - Accent1 3 2 7" xfId="14606"/>
    <cellStyle name="20% - Accent1 3 2 8" xfId="14607"/>
    <cellStyle name="20% - Accent1 3 3" xfId="21"/>
    <cellStyle name="20% - Accent1 3 3 2" xfId="22"/>
    <cellStyle name="20% - Accent1 3 3 2 2" xfId="14608"/>
    <cellStyle name="20% - Accent1 3 3 2 2 2" xfId="14609"/>
    <cellStyle name="20% - Accent1 3 3 2 2 3" xfId="14610"/>
    <cellStyle name="20% - Accent1 3 3 2 2 4" xfId="14611"/>
    <cellStyle name="20% - Accent1 3 3 2 3" xfId="14612"/>
    <cellStyle name="20% - Accent1 3 3 2 4" xfId="14613"/>
    <cellStyle name="20% - Accent1 3 3 2 5" xfId="14614"/>
    <cellStyle name="20% - Accent1 3 3 3" xfId="23"/>
    <cellStyle name="20% - Accent1 3 3 3 2" xfId="14615"/>
    <cellStyle name="20% - Accent1 3 3 3 2 2" xfId="14616"/>
    <cellStyle name="20% - Accent1 3 3 3 2 3" xfId="14617"/>
    <cellStyle name="20% - Accent1 3 3 3 2 4" xfId="14618"/>
    <cellStyle name="20% - Accent1 3 3 3 3" xfId="14619"/>
    <cellStyle name="20% - Accent1 3 3 3 4" xfId="14620"/>
    <cellStyle name="20% - Accent1 3 3 3 5" xfId="14621"/>
    <cellStyle name="20% - Accent1 3 3 4" xfId="14622"/>
    <cellStyle name="20% - Accent1 3 3 4 2" xfId="14623"/>
    <cellStyle name="20% - Accent1 3 3 4 3" xfId="14624"/>
    <cellStyle name="20% - Accent1 3 3 4 4" xfId="14625"/>
    <cellStyle name="20% - Accent1 3 3 5" xfId="14626"/>
    <cellStyle name="20% - Accent1 3 3 6" xfId="14627"/>
    <cellStyle name="20% - Accent1 3 3 7" xfId="14628"/>
    <cellStyle name="20% - Accent1 3 4" xfId="24"/>
    <cellStyle name="20% - Accent1 3 4 2" xfId="14629"/>
    <cellStyle name="20% - Accent1 3 4 2 2" xfId="14630"/>
    <cellStyle name="20% - Accent1 3 4 2 3" xfId="14631"/>
    <cellStyle name="20% - Accent1 3 4 2 4" xfId="14632"/>
    <cellStyle name="20% - Accent1 3 4 3" xfId="14633"/>
    <cellStyle name="20% - Accent1 3 4 4" xfId="14634"/>
    <cellStyle name="20% - Accent1 3 4 5" xfId="14635"/>
    <cellStyle name="20% - Accent1 3 5" xfId="25"/>
    <cellStyle name="20% - Accent1 3 5 2" xfId="14636"/>
    <cellStyle name="20% - Accent1 3 5 2 2" xfId="14637"/>
    <cellStyle name="20% - Accent1 3 5 2 3" xfId="14638"/>
    <cellStyle name="20% - Accent1 3 5 2 4" xfId="14639"/>
    <cellStyle name="20% - Accent1 3 5 3" xfId="14640"/>
    <cellStyle name="20% - Accent1 3 5 4" xfId="14641"/>
    <cellStyle name="20% - Accent1 3 5 5" xfId="14642"/>
    <cellStyle name="20% - Accent1 3 6" xfId="14643"/>
    <cellStyle name="20% - Accent1 3 6 2" xfId="14644"/>
    <cellStyle name="20% - Accent1 3 6 3" xfId="14645"/>
    <cellStyle name="20% - Accent1 3 6 4" xfId="14646"/>
    <cellStyle name="20% - Accent1 3 7" xfId="14647"/>
    <cellStyle name="20% - Accent1 3 8" xfId="14648"/>
    <cellStyle name="20% - Accent1 3 9" xfId="14649"/>
    <cellStyle name="20% - Accent1 4" xfId="26"/>
    <cellStyle name="20% - Accent1 4 10" xfId="14650"/>
    <cellStyle name="20% - Accent1 4 11" xfId="14651"/>
    <cellStyle name="20% - Accent1 4 2" xfId="27"/>
    <cellStyle name="20% - Accent1 4 2 2" xfId="28"/>
    <cellStyle name="20% - Accent1 4 2 2 2" xfId="29"/>
    <cellStyle name="20% - Accent1 4 2 2 2 2" xfId="14652"/>
    <cellStyle name="20% - Accent1 4 2 2 2 2 2" xfId="14653"/>
    <cellStyle name="20% - Accent1 4 2 2 2 2 3" xfId="14654"/>
    <cellStyle name="20% - Accent1 4 2 2 2 2 4" xfId="14655"/>
    <cellStyle name="20% - Accent1 4 2 2 2 3" xfId="14656"/>
    <cellStyle name="20% - Accent1 4 2 2 2 4" xfId="14657"/>
    <cellStyle name="20% - Accent1 4 2 2 2 5" xfId="14658"/>
    <cellStyle name="20% - Accent1 4 2 2 3" xfId="30"/>
    <cellStyle name="20% - Accent1 4 2 2 3 2" xfId="14659"/>
    <cellStyle name="20% - Accent1 4 2 2 3 2 2" xfId="14660"/>
    <cellStyle name="20% - Accent1 4 2 2 3 2 3" xfId="14661"/>
    <cellStyle name="20% - Accent1 4 2 2 3 2 4" xfId="14662"/>
    <cellStyle name="20% - Accent1 4 2 2 3 3" xfId="14663"/>
    <cellStyle name="20% - Accent1 4 2 2 3 4" xfId="14664"/>
    <cellStyle name="20% - Accent1 4 2 2 3 5" xfId="14665"/>
    <cellStyle name="20% - Accent1 4 2 2 4" xfId="14666"/>
    <cellStyle name="20% - Accent1 4 2 2 4 2" xfId="14667"/>
    <cellStyle name="20% - Accent1 4 2 2 4 3" xfId="14668"/>
    <cellStyle name="20% - Accent1 4 2 2 4 4" xfId="14669"/>
    <cellStyle name="20% - Accent1 4 2 2 5" xfId="14670"/>
    <cellStyle name="20% - Accent1 4 2 2 6" xfId="14671"/>
    <cellStyle name="20% - Accent1 4 2 2 7" xfId="14672"/>
    <cellStyle name="20% - Accent1 4 2 3" xfId="31"/>
    <cellStyle name="20% - Accent1 4 2 3 2" xfId="14673"/>
    <cellStyle name="20% - Accent1 4 2 3 2 2" xfId="14674"/>
    <cellStyle name="20% - Accent1 4 2 3 2 3" xfId="14675"/>
    <cellStyle name="20% - Accent1 4 2 3 2 4" xfId="14676"/>
    <cellStyle name="20% - Accent1 4 2 3 3" xfId="14677"/>
    <cellStyle name="20% - Accent1 4 2 3 4" xfId="14678"/>
    <cellStyle name="20% - Accent1 4 2 3 5" xfId="14679"/>
    <cellStyle name="20% - Accent1 4 2 4" xfId="32"/>
    <cellStyle name="20% - Accent1 4 2 4 2" xfId="14680"/>
    <cellStyle name="20% - Accent1 4 2 4 2 2" xfId="14681"/>
    <cellStyle name="20% - Accent1 4 2 4 2 3" xfId="14682"/>
    <cellStyle name="20% - Accent1 4 2 4 2 4" xfId="14683"/>
    <cellStyle name="20% - Accent1 4 2 4 3" xfId="14684"/>
    <cellStyle name="20% - Accent1 4 2 4 4" xfId="14685"/>
    <cellStyle name="20% - Accent1 4 2 4 5" xfId="14686"/>
    <cellStyle name="20% - Accent1 4 2 5" xfId="14687"/>
    <cellStyle name="20% - Accent1 4 2 5 2" xfId="14688"/>
    <cellStyle name="20% - Accent1 4 2 5 3" xfId="14689"/>
    <cellStyle name="20% - Accent1 4 2 5 4" xfId="14690"/>
    <cellStyle name="20% - Accent1 4 2 6" xfId="14691"/>
    <cellStyle name="20% - Accent1 4 2 7" xfId="14692"/>
    <cellStyle name="20% - Accent1 4 2 8" xfId="14693"/>
    <cellStyle name="20% - Accent1 4 3" xfId="33"/>
    <cellStyle name="20% - Accent1 4 3 2" xfId="34"/>
    <cellStyle name="20% - Accent1 4 3 2 2" xfId="14694"/>
    <cellStyle name="20% - Accent1 4 3 2 2 2" xfId="14695"/>
    <cellStyle name="20% - Accent1 4 3 2 2 3" xfId="14696"/>
    <cellStyle name="20% - Accent1 4 3 2 2 4" xfId="14697"/>
    <cellStyle name="20% - Accent1 4 3 2 3" xfId="14698"/>
    <cellStyle name="20% - Accent1 4 3 2 4" xfId="14699"/>
    <cellStyle name="20% - Accent1 4 3 2 5" xfId="14700"/>
    <cellStyle name="20% - Accent1 4 3 3" xfId="35"/>
    <cellStyle name="20% - Accent1 4 3 3 2" xfId="14701"/>
    <cellStyle name="20% - Accent1 4 3 3 2 2" xfId="14702"/>
    <cellStyle name="20% - Accent1 4 3 3 2 3" xfId="14703"/>
    <cellStyle name="20% - Accent1 4 3 3 2 4" xfId="14704"/>
    <cellStyle name="20% - Accent1 4 3 3 3" xfId="14705"/>
    <cellStyle name="20% - Accent1 4 3 3 4" xfId="14706"/>
    <cellStyle name="20% - Accent1 4 3 3 5" xfId="14707"/>
    <cellStyle name="20% - Accent1 4 3 4" xfId="14708"/>
    <cellStyle name="20% - Accent1 4 3 4 2" xfId="14709"/>
    <cellStyle name="20% - Accent1 4 3 4 3" xfId="14710"/>
    <cellStyle name="20% - Accent1 4 3 4 4" xfId="14711"/>
    <cellStyle name="20% - Accent1 4 3 5" xfId="14712"/>
    <cellStyle name="20% - Accent1 4 3 6" xfId="14713"/>
    <cellStyle name="20% - Accent1 4 3 7" xfId="14714"/>
    <cellStyle name="20% - Accent1 4 4" xfId="36"/>
    <cellStyle name="20% - Accent1 4 4 2" xfId="14715"/>
    <cellStyle name="20% - Accent1 4 4 2 2" xfId="14716"/>
    <cellStyle name="20% - Accent1 4 4 2 3" xfId="14717"/>
    <cellStyle name="20% - Accent1 4 4 2 4" xfId="14718"/>
    <cellStyle name="20% - Accent1 4 4 3" xfId="14719"/>
    <cellStyle name="20% - Accent1 4 4 4" xfId="14720"/>
    <cellStyle name="20% - Accent1 4 4 5" xfId="14721"/>
    <cellStyle name="20% - Accent1 4 5" xfId="37"/>
    <cellStyle name="20% - Accent1 4 5 2" xfId="14722"/>
    <cellStyle name="20% - Accent1 4 5 2 2" xfId="14723"/>
    <cellStyle name="20% - Accent1 4 5 2 3" xfId="14724"/>
    <cellStyle name="20% - Accent1 4 5 2 4" xfId="14725"/>
    <cellStyle name="20% - Accent1 4 5 3" xfId="14726"/>
    <cellStyle name="20% - Accent1 4 5 4" xfId="14727"/>
    <cellStyle name="20% - Accent1 4 5 5" xfId="14728"/>
    <cellStyle name="20% - Accent1 4 6" xfId="14729"/>
    <cellStyle name="20% - Accent1 4 6 2" xfId="14730"/>
    <cellStyle name="20% - Accent1 4 6 3" xfId="14731"/>
    <cellStyle name="20% - Accent1 4 6 4" xfId="14732"/>
    <cellStyle name="20% - Accent1 4 7" xfId="14733"/>
    <cellStyle name="20% - Accent1 4 8" xfId="14734"/>
    <cellStyle name="20% - Accent1 4 9" xfId="14735"/>
    <cellStyle name="20% - Accent1 5" xfId="38"/>
    <cellStyle name="20% - Accent1 5 10" xfId="14736"/>
    <cellStyle name="20% - Accent1 5 2" xfId="39"/>
    <cellStyle name="20% - Accent1 5 2 2" xfId="40"/>
    <cellStyle name="20% - Accent1 5 2 2 2" xfId="14737"/>
    <cellStyle name="20% - Accent1 5 2 2 2 2" xfId="14738"/>
    <cellStyle name="20% - Accent1 5 2 2 2 3" xfId="14739"/>
    <cellStyle name="20% - Accent1 5 2 2 2 4" xfId="14740"/>
    <cellStyle name="20% - Accent1 5 2 2 3" xfId="14741"/>
    <cellStyle name="20% - Accent1 5 2 2 4" xfId="14742"/>
    <cellStyle name="20% - Accent1 5 2 2 5" xfId="14743"/>
    <cellStyle name="20% - Accent1 5 2 3" xfId="41"/>
    <cellStyle name="20% - Accent1 5 2 3 2" xfId="14744"/>
    <cellStyle name="20% - Accent1 5 2 3 2 2" xfId="14745"/>
    <cellStyle name="20% - Accent1 5 2 3 2 3" xfId="14746"/>
    <cellStyle name="20% - Accent1 5 2 3 2 4" xfId="14747"/>
    <cellStyle name="20% - Accent1 5 2 3 3" xfId="14748"/>
    <cellStyle name="20% - Accent1 5 2 3 4" xfId="14749"/>
    <cellStyle name="20% - Accent1 5 2 3 5" xfId="14750"/>
    <cellStyle name="20% - Accent1 5 2 4" xfId="14751"/>
    <cellStyle name="20% - Accent1 5 2 4 2" xfId="14752"/>
    <cellStyle name="20% - Accent1 5 2 4 3" xfId="14753"/>
    <cellStyle name="20% - Accent1 5 2 4 4" xfId="14754"/>
    <cellStyle name="20% - Accent1 5 2 5" xfId="14755"/>
    <cellStyle name="20% - Accent1 5 2 6" xfId="14756"/>
    <cellStyle name="20% - Accent1 5 2 7" xfId="14757"/>
    <cellStyle name="20% - Accent1 5 3" xfId="42"/>
    <cellStyle name="20% - Accent1 5 3 2" xfId="14758"/>
    <cellStyle name="20% - Accent1 5 3 2 2" xfId="14759"/>
    <cellStyle name="20% - Accent1 5 3 2 3" xfId="14760"/>
    <cellStyle name="20% - Accent1 5 3 2 4" xfId="14761"/>
    <cellStyle name="20% - Accent1 5 3 3" xfId="14762"/>
    <cellStyle name="20% - Accent1 5 3 4" xfId="14763"/>
    <cellStyle name="20% - Accent1 5 3 5" xfId="14764"/>
    <cellStyle name="20% - Accent1 5 4" xfId="43"/>
    <cellStyle name="20% - Accent1 5 4 2" xfId="14765"/>
    <cellStyle name="20% - Accent1 5 4 2 2" xfId="14766"/>
    <cellStyle name="20% - Accent1 5 4 2 3" xfId="14767"/>
    <cellStyle name="20% - Accent1 5 4 2 4" xfId="14768"/>
    <cellStyle name="20% - Accent1 5 4 3" xfId="14769"/>
    <cellStyle name="20% - Accent1 5 4 4" xfId="14770"/>
    <cellStyle name="20% - Accent1 5 4 5" xfId="14771"/>
    <cellStyle name="20% - Accent1 5 5" xfId="14772"/>
    <cellStyle name="20% - Accent1 5 5 2" xfId="14773"/>
    <cellStyle name="20% - Accent1 5 5 3" xfId="14774"/>
    <cellStyle name="20% - Accent1 5 5 4" xfId="14775"/>
    <cellStyle name="20% - Accent1 5 6" xfId="14776"/>
    <cellStyle name="20% - Accent1 5 7" xfId="14777"/>
    <cellStyle name="20% - Accent1 5 8" xfId="14778"/>
    <cellStyle name="20% - Accent1 5 9" xfId="14779"/>
    <cellStyle name="20% - Accent1 6" xfId="44"/>
    <cellStyle name="20% - Accent1 6 2" xfId="45"/>
    <cellStyle name="20% - Accent1 6 2 2" xfId="14780"/>
    <cellStyle name="20% - Accent1 6 2 2 2" xfId="14781"/>
    <cellStyle name="20% - Accent1 6 2 2 3" xfId="14782"/>
    <cellStyle name="20% - Accent1 6 2 2 4" xfId="14783"/>
    <cellStyle name="20% - Accent1 6 2 3" xfId="14784"/>
    <cellStyle name="20% - Accent1 6 2 4" xfId="14785"/>
    <cellStyle name="20% - Accent1 6 2 5" xfId="14786"/>
    <cellStyle name="20% - Accent1 6 3" xfId="46"/>
    <cellStyle name="20% - Accent1 6 3 2" xfId="14787"/>
    <cellStyle name="20% - Accent1 6 3 2 2" xfId="14788"/>
    <cellStyle name="20% - Accent1 6 3 2 3" xfId="14789"/>
    <cellStyle name="20% - Accent1 6 3 2 4" xfId="14790"/>
    <cellStyle name="20% - Accent1 6 3 3" xfId="14791"/>
    <cellStyle name="20% - Accent1 6 3 4" xfId="14792"/>
    <cellStyle name="20% - Accent1 6 3 5" xfId="14793"/>
    <cellStyle name="20% - Accent1 6 4" xfId="14794"/>
    <cellStyle name="20% - Accent1 6 4 2" xfId="14795"/>
    <cellStyle name="20% - Accent1 6 4 3" xfId="14796"/>
    <cellStyle name="20% - Accent1 6 4 4" xfId="14797"/>
    <cellStyle name="20% - Accent1 6 5" xfId="14798"/>
    <cellStyle name="20% - Accent1 6 6" xfId="14799"/>
    <cellStyle name="20% - Accent1 6 7" xfId="14800"/>
    <cellStyle name="20% - Accent1 6 8" xfId="14801"/>
    <cellStyle name="20% - Accent1 6 9" xfId="14802"/>
    <cellStyle name="20% - Accent1 7" xfId="47"/>
    <cellStyle name="20% - Accent1 7 2" xfId="14803"/>
    <cellStyle name="20% - Accent1 7 2 2" xfId="14804"/>
    <cellStyle name="20% - Accent1 7 2 3" xfId="14805"/>
    <cellStyle name="20% - Accent1 7 2 4" xfId="14806"/>
    <cellStyle name="20% - Accent1 7 3" xfId="14807"/>
    <cellStyle name="20% - Accent1 7 4" xfId="14808"/>
    <cellStyle name="20% - Accent1 7 5" xfId="14809"/>
    <cellStyle name="20% - Accent1 7 6" xfId="14810"/>
    <cellStyle name="20% - Accent1 7 7" xfId="14811"/>
    <cellStyle name="20% - Accent1 7 8" xfId="14812"/>
    <cellStyle name="20% - Accent1 8" xfId="48"/>
    <cellStyle name="20% - Accent1 8 2" xfId="14813"/>
    <cellStyle name="20% - Accent1 8 2 2" xfId="14814"/>
    <cellStyle name="20% - Accent1 8 2 3" xfId="14815"/>
    <cellStyle name="20% - Accent1 8 2 4" xfId="14816"/>
    <cellStyle name="20% - Accent1 8 3" xfId="14817"/>
    <cellStyle name="20% - Accent1 8 4" xfId="14818"/>
    <cellStyle name="20% - Accent1 8 5" xfId="14819"/>
    <cellStyle name="20% - Accent1 8 6" xfId="14820"/>
    <cellStyle name="20% - Accent1 8 7" xfId="14821"/>
    <cellStyle name="20% - Accent1 8 8" xfId="14822"/>
    <cellStyle name="20% - Accent1 9" xfId="14823"/>
    <cellStyle name="20% - Accent1 9 2" xfId="14824"/>
    <cellStyle name="20% - Accent1 9 3" xfId="14825"/>
    <cellStyle name="20% - Accent1 9 4" xfId="14826"/>
    <cellStyle name="20% - Accent1 9 5" xfId="14827"/>
    <cellStyle name="20% - Accent1 9 6" xfId="14828"/>
    <cellStyle name="20% - Accent2 10" xfId="14829"/>
    <cellStyle name="20% - Accent2 10 2" xfId="14830"/>
    <cellStyle name="20% - Accent2 10 3" xfId="14831"/>
    <cellStyle name="20% - Accent2 10 4" xfId="14832"/>
    <cellStyle name="20% - Accent2 10 5" xfId="14833"/>
    <cellStyle name="20% - Accent2 11" xfId="14834"/>
    <cellStyle name="20% - Accent2 11 2" xfId="14835"/>
    <cellStyle name="20% - Accent2 11 3" xfId="14836"/>
    <cellStyle name="20% - Accent2 12" xfId="14837"/>
    <cellStyle name="20% - Accent2 13" xfId="14838"/>
    <cellStyle name="20% - Accent2 13 2" xfId="14839"/>
    <cellStyle name="20% - Accent2 13 3" xfId="14840"/>
    <cellStyle name="20% - Accent2 14" xfId="14841"/>
    <cellStyle name="20% - Accent2 15" xfId="40108"/>
    <cellStyle name="20% - Accent2 16" xfId="40109"/>
    <cellStyle name="20% - Accent2 17" xfId="40110"/>
    <cellStyle name="20% - Accent2 2" xfId="49"/>
    <cellStyle name="20% - Accent2 2 10" xfId="14842"/>
    <cellStyle name="20% - Accent2 2 11" xfId="14843"/>
    <cellStyle name="20% - Accent2 2 12" xfId="14844"/>
    <cellStyle name="20% - Accent2 2 2" xfId="50"/>
    <cellStyle name="20% - Accent2 2 2 2" xfId="51"/>
    <cellStyle name="20% - Accent2 2 2 2 2" xfId="52"/>
    <cellStyle name="20% - Accent2 2 2 2 2 2" xfId="14845"/>
    <cellStyle name="20% - Accent2 2 2 2 2 2 2" xfId="14846"/>
    <cellStyle name="20% - Accent2 2 2 2 2 2 3" xfId="14847"/>
    <cellStyle name="20% - Accent2 2 2 2 2 2 4" xfId="14848"/>
    <cellStyle name="20% - Accent2 2 2 2 2 3" xfId="14849"/>
    <cellStyle name="20% - Accent2 2 2 2 2 4" xfId="14850"/>
    <cellStyle name="20% - Accent2 2 2 2 2 5" xfId="14851"/>
    <cellStyle name="20% - Accent2 2 2 2 3" xfId="53"/>
    <cellStyle name="20% - Accent2 2 2 2 3 2" xfId="14852"/>
    <cellStyle name="20% - Accent2 2 2 2 3 2 2" xfId="14853"/>
    <cellStyle name="20% - Accent2 2 2 2 3 2 3" xfId="14854"/>
    <cellStyle name="20% - Accent2 2 2 2 3 2 4" xfId="14855"/>
    <cellStyle name="20% - Accent2 2 2 2 3 3" xfId="14856"/>
    <cellStyle name="20% - Accent2 2 2 2 3 4" xfId="14857"/>
    <cellStyle name="20% - Accent2 2 2 2 3 5" xfId="14858"/>
    <cellStyle name="20% - Accent2 2 2 2 4" xfId="14859"/>
    <cellStyle name="20% - Accent2 2 2 2 4 2" xfId="14860"/>
    <cellStyle name="20% - Accent2 2 2 2 4 3" xfId="14861"/>
    <cellStyle name="20% - Accent2 2 2 2 4 4" xfId="14862"/>
    <cellStyle name="20% - Accent2 2 2 2 5" xfId="14863"/>
    <cellStyle name="20% - Accent2 2 2 2 6" xfId="14864"/>
    <cellStyle name="20% - Accent2 2 2 2 7" xfId="14865"/>
    <cellStyle name="20% - Accent2 2 2 3" xfId="54"/>
    <cellStyle name="20% - Accent2 2 2 3 2" xfId="14866"/>
    <cellStyle name="20% - Accent2 2 2 3 2 2" xfId="14867"/>
    <cellStyle name="20% - Accent2 2 2 3 2 3" xfId="14868"/>
    <cellStyle name="20% - Accent2 2 2 3 2 4" xfId="14869"/>
    <cellStyle name="20% - Accent2 2 2 3 3" xfId="14870"/>
    <cellStyle name="20% - Accent2 2 2 3 4" xfId="14871"/>
    <cellStyle name="20% - Accent2 2 2 3 5" xfId="14872"/>
    <cellStyle name="20% - Accent2 2 2 4" xfId="55"/>
    <cellStyle name="20% - Accent2 2 2 4 2" xfId="14873"/>
    <cellStyle name="20% - Accent2 2 2 4 2 2" xfId="14874"/>
    <cellStyle name="20% - Accent2 2 2 4 2 3" xfId="14875"/>
    <cellStyle name="20% - Accent2 2 2 4 2 4" xfId="14876"/>
    <cellStyle name="20% - Accent2 2 2 4 3" xfId="14877"/>
    <cellStyle name="20% - Accent2 2 2 4 4" xfId="14878"/>
    <cellStyle name="20% - Accent2 2 2 4 5" xfId="14879"/>
    <cellStyle name="20% - Accent2 2 2 5" xfId="14880"/>
    <cellStyle name="20% - Accent2 2 2 5 2" xfId="14881"/>
    <cellStyle name="20% - Accent2 2 2 5 3" xfId="14882"/>
    <cellStyle name="20% - Accent2 2 2 5 4" xfId="14883"/>
    <cellStyle name="20% - Accent2 2 2 6" xfId="14884"/>
    <cellStyle name="20% - Accent2 2 2 7" xfId="14885"/>
    <cellStyle name="20% - Accent2 2 2 8" xfId="14886"/>
    <cellStyle name="20% - Accent2 2 2 9" xfId="14887"/>
    <cellStyle name="20% - Accent2 2 3" xfId="56"/>
    <cellStyle name="20% - Accent2 2 3 2" xfId="57"/>
    <cellStyle name="20% - Accent2 2 3 2 2" xfId="14888"/>
    <cellStyle name="20% - Accent2 2 3 2 2 2" xfId="14889"/>
    <cellStyle name="20% - Accent2 2 3 2 2 3" xfId="14890"/>
    <cellStyle name="20% - Accent2 2 3 2 2 4" xfId="14891"/>
    <cellStyle name="20% - Accent2 2 3 2 3" xfId="14892"/>
    <cellStyle name="20% - Accent2 2 3 2 4" xfId="14893"/>
    <cellStyle name="20% - Accent2 2 3 2 5" xfId="14894"/>
    <cellStyle name="20% - Accent2 2 3 3" xfId="58"/>
    <cellStyle name="20% - Accent2 2 3 3 2" xfId="14895"/>
    <cellStyle name="20% - Accent2 2 3 3 2 2" xfId="14896"/>
    <cellStyle name="20% - Accent2 2 3 3 2 3" xfId="14897"/>
    <cellStyle name="20% - Accent2 2 3 3 2 4" xfId="14898"/>
    <cellStyle name="20% - Accent2 2 3 3 3" xfId="14899"/>
    <cellStyle name="20% - Accent2 2 3 3 4" xfId="14900"/>
    <cellStyle name="20% - Accent2 2 3 3 5" xfId="14901"/>
    <cellStyle name="20% - Accent2 2 3 4" xfId="14902"/>
    <cellStyle name="20% - Accent2 2 3 4 2" xfId="14903"/>
    <cellStyle name="20% - Accent2 2 3 4 3" xfId="14904"/>
    <cellStyle name="20% - Accent2 2 3 4 4" xfId="14905"/>
    <cellStyle name="20% - Accent2 2 3 5" xfId="14906"/>
    <cellStyle name="20% - Accent2 2 3 6" xfId="14907"/>
    <cellStyle name="20% - Accent2 2 3 7" xfId="14908"/>
    <cellStyle name="20% - Accent2 2 3 8" xfId="14909"/>
    <cellStyle name="20% - Accent2 2 4" xfId="59"/>
    <cellStyle name="20% - Accent2 2 4 2" xfId="14910"/>
    <cellStyle name="20% - Accent2 2 4 2 2" xfId="14911"/>
    <cellStyle name="20% - Accent2 2 4 2 3" xfId="14912"/>
    <cellStyle name="20% - Accent2 2 4 2 4" xfId="14913"/>
    <cellStyle name="20% - Accent2 2 4 3" xfId="14914"/>
    <cellStyle name="20% - Accent2 2 4 4" xfId="14915"/>
    <cellStyle name="20% - Accent2 2 4 5" xfId="14916"/>
    <cellStyle name="20% - Accent2 2 4 6" xfId="14917"/>
    <cellStyle name="20% - Accent2 2 5" xfId="60"/>
    <cellStyle name="20% - Accent2 2 5 2" xfId="14918"/>
    <cellStyle name="20% - Accent2 2 5 2 2" xfId="14919"/>
    <cellStyle name="20% - Accent2 2 5 2 3" xfId="14920"/>
    <cellStyle name="20% - Accent2 2 5 2 4" xfId="14921"/>
    <cellStyle name="20% - Accent2 2 5 3" xfId="14922"/>
    <cellStyle name="20% - Accent2 2 5 4" xfId="14923"/>
    <cellStyle name="20% - Accent2 2 5 5" xfId="14924"/>
    <cellStyle name="20% - Accent2 2 5 6" xfId="14925"/>
    <cellStyle name="20% - Accent2 2 6" xfId="14926"/>
    <cellStyle name="20% - Accent2 2 6 2" xfId="14927"/>
    <cellStyle name="20% - Accent2 2 6 3" xfId="14928"/>
    <cellStyle name="20% - Accent2 2 6 4" xfId="14929"/>
    <cellStyle name="20% - Accent2 2 7" xfId="14930"/>
    <cellStyle name="20% - Accent2 2 8" xfId="14931"/>
    <cellStyle name="20% - Accent2 2 9" xfId="14932"/>
    <cellStyle name="20% - Accent2 3" xfId="61"/>
    <cellStyle name="20% - Accent2 3 10" xfId="14933"/>
    <cellStyle name="20% - Accent2 3 11" xfId="14934"/>
    <cellStyle name="20% - Accent2 3 2" xfId="62"/>
    <cellStyle name="20% - Accent2 3 2 2" xfId="63"/>
    <cellStyle name="20% - Accent2 3 2 2 2" xfId="64"/>
    <cellStyle name="20% - Accent2 3 2 2 2 2" xfId="14935"/>
    <cellStyle name="20% - Accent2 3 2 2 2 2 2" xfId="14936"/>
    <cellStyle name="20% - Accent2 3 2 2 2 2 3" xfId="14937"/>
    <cellStyle name="20% - Accent2 3 2 2 2 2 4" xfId="14938"/>
    <cellStyle name="20% - Accent2 3 2 2 2 3" xfId="14939"/>
    <cellStyle name="20% - Accent2 3 2 2 2 4" xfId="14940"/>
    <cellStyle name="20% - Accent2 3 2 2 2 5" xfId="14941"/>
    <cellStyle name="20% - Accent2 3 2 2 3" xfId="65"/>
    <cellStyle name="20% - Accent2 3 2 2 3 2" xfId="14942"/>
    <cellStyle name="20% - Accent2 3 2 2 3 2 2" xfId="14943"/>
    <cellStyle name="20% - Accent2 3 2 2 3 2 3" xfId="14944"/>
    <cellStyle name="20% - Accent2 3 2 2 3 2 4" xfId="14945"/>
    <cellStyle name="20% - Accent2 3 2 2 3 3" xfId="14946"/>
    <cellStyle name="20% - Accent2 3 2 2 3 4" xfId="14947"/>
    <cellStyle name="20% - Accent2 3 2 2 3 5" xfId="14948"/>
    <cellStyle name="20% - Accent2 3 2 2 4" xfId="14949"/>
    <cellStyle name="20% - Accent2 3 2 2 4 2" xfId="14950"/>
    <cellStyle name="20% - Accent2 3 2 2 4 3" xfId="14951"/>
    <cellStyle name="20% - Accent2 3 2 2 4 4" xfId="14952"/>
    <cellStyle name="20% - Accent2 3 2 2 5" xfId="14953"/>
    <cellStyle name="20% - Accent2 3 2 2 6" xfId="14954"/>
    <cellStyle name="20% - Accent2 3 2 2 7" xfId="14955"/>
    <cellStyle name="20% - Accent2 3 2 3" xfId="66"/>
    <cellStyle name="20% - Accent2 3 2 3 2" xfId="14956"/>
    <cellStyle name="20% - Accent2 3 2 3 2 2" xfId="14957"/>
    <cellStyle name="20% - Accent2 3 2 3 2 3" xfId="14958"/>
    <cellStyle name="20% - Accent2 3 2 3 2 4" xfId="14959"/>
    <cellStyle name="20% - Accent2 3 2 3 3" xfId="14960"/>
    <cellStyle name="20% - Accent2 3 2 3 4" xfId="14961"/>
    <cellStyle name="20% - Accent2 3 2 3 5" xfId="14962"/>
    <cellStyle name="20% - Accent2 3 2 4" xfId="67"/>
    <cellStyle name="20% - Accent2 3 2 4 2" xfId="14963"/>
    <cellStyle name="20% - Accent2 3 2 4 2 2" xfId="14964"/>
    <cellStyle name="20% - Accent2 3 2 4 2 3" xfId="14965"/>
    <cellStyle name="20% - Accent2 3 2 4 2 4" xfId="14966"/>
    <cellStyle name="20% - Accent2 3 2 4 3" xfId="14967"/>
    <cellStyle name="20% - Accent2 3 2 4 4" xfId="14968"/>
    <cellStyle name="20% - Accent2 3 2 4 5" xfId="14969"/>
    <cellStyle name="20% - Accent2 3 2 5" xfId="14970"/>
    <cellStyle name="20% - Accent2 3 2 5 2" xfId="14971"/>
    <cellStyle name="20% - Accent2 3 2 5 3" xfId="14972"/>
    <cellStyle name="20% - Accent2 3 2 5 4" xfId="14973"/>
    <cellStyle name="20% - Accent2 3 2 6" xfId="14974"/>
    <cellStyle name="20% - Accent2 3 2 7" xfId="14975"/>
    <cellStyle name="20% - Accent2 3 2 8" xfId="14976"/>
    <cellStyle name="20% - Accent2 3 3" xfId="68"/>
    <cellStyle name="20% - Accent2 3 3 2" xfId="69"/>
    <cellStyle name="20% - Accent2 3 3 2 2" xfId="14977"/>
    <cellStyle name="20% - Accent2 3 3 2 2 2" xfId="14978"/>
    <cellStyle name="20% - Accent2 3 3 2 2 3" xfId="14979"/>
    <cellStyle name="20% - Accent2 3 3 2 2 4" xfId="14980"/>
    <cellStyle name="20% - Accent2 3 3 2 3" xfId="14981"/>
    <cellStyle name="20% - Accent2 3 3 2 4" xfId="14982"/>
    <cellStyle name="20% - Accent2 3 3 2 5" xfId="14983"/>
    <cellStyle name="20% - Accent2 3 3 3" xfId="70"/>
    <cellStyle name="20% - Accent2 3 3 3 2" xfId="14984"/>
    <cellStyle name="20% - Accent2 3 3 3 2 2" xfId="14985"/>
    <cellStyle name="20% - Accent2 3 3 3 2 3" xfId="14986"/>
    <cellStyle name="20% - Accent2 3 3 3 2 4" xfId="14987"/>
    <cellStyle name="20% - Accent2 3 3 3 3" xfId="14988"/>
    <cellStyle name="20% - Accent2 3 3 3 4" xfId="14989"/>
    <cellStyle name="20% - Accent2 3 3 3 5" xfId="14990"/>
    <cellStyle name="20% - Accent2 3 3 4" xfId="14991"/>
    <cellStyle name="20% - Accent2 3 3 4 2" xfId="14992"/>
    <cellStyle name="20% - Accent2 3 3 4 3" xfId="14993"/>
    <cellStyle name="20% - Accent2 3 3 4 4" xfId="14994"/>
    <cellStyle name="20% - Accent2 3 3 5" xfId="14995"/>
    <cellStyle name="20% - Accent2 3 3 6" xfId="14996"/>
    <cellStyle name="20% - Accent2 3 3 7" xfId="14997"/>
    <cellStyle name="20% - Accent2 3 4" xfId="71"/>
    <cellStyle name="20% - Accent2 3 4 2" xfId="14998"/>
    <cellStyle name="20% - Accent2 3 4 2 2" xfId="14999"/>
    <cellStyle name="20% - Accent2 3 4 2 3" xfId="15000"/>
    <cellStyle name="20% - Accent2 3 4 2 4" xfId="15001"/>
    <cellStyle name="20% - Accent2 3 4 3" xfId="15002"/>
    <cellStyle name="20% - Accent2 3 4 4" xfId="15003"/>
    <cellStyle name="20% - Accent2 3 4 5" xfId="15004"/>
    <cellStyle name="20% - Accent2 3 5" xfId="72"/>
    <cellStyle name="20% - Accent2 3 5 2" xfId="15005"/>
    <cellStyle name="20% - Accent2 3 5 2 2" xfId="15006"/>
    <cellStyle name="20% - Accent2 3 5 2 3" xfId="15007"/>
    <cellStyle name="20% - Accent2 3 5 2 4" xfId="15008"/>
    <cellStyle name="20% - Accent2 3 5 3" xfId="15009"/>
    <cellStyle name="20% - Accent2 3 5 4" xfId="15010"/>
    <cellStyle name="20% - Accent2 3 5 5" xfId="15011"/>
    <cellStyle name="20% - Accent2 3 6" xfId="15012"/>
    <cellStyle name="20% - Accent2 3 6 2" xfId="15013"/>
    <cellStyle name="20% - Accent2 3 6 3" xfId="15014"/>
    <cellStyle name="20% - Accent2 3 6 4" xfId="15015"/>
    <cellStyle name="20% - Accent2 3 7" xfId="15016"/>
    <cellStyle name="20% - Accent2 3 8" xfId="15017"/>
    <cellStyle name="20% - Accent2 3 9" xfId="15018"/>
    <cellStyle name="20% - Accent2 4" xfId="73"/>
    <cellStyle name="20% - Accent2 4 10" xfId="15019"/>
    <cellStyle name="20% - Accent2 4 11" xfId="15020"/>
    <cellStyle name="20% - Accent2 4 2" xfId="74"/>
    <cellStyle name="20% - Accent2 4 2 2" xfId="75"/>
    <cellStyle name="20% - Accent2 4 2 2 2" xfId="76"/>
    <cellStyle name="20% - Accent2 4 2 2 2 2" xfId="15021"/>
    <cellStyle name="20% - Accent2 4 2 2 2 2 2" xfId="15022"/>
    <cellStyle name="20% - Accent2 4 2 2 2 2 3" xfId="15023"/>
    <cellStyle name="20% - Accent2 4 2 2 2 2 4" xfId="15024"/>
    <cellStyle name="20% - Accent2 4 2 2 2 3" xfId="15025"/>
    <cellStyle name="20% - Accent2 4 2 2 2 4" xfId="15026"/>
    <cellStyle name="20% - Accent2 4 2 2 2 5" xfId="15027"/>
    <cellStyle name="20% - Accent2 4 2 2 3" xfId="77"/>
    <cellStyle name="20% - Accent2 4 2 2 3 2" xfId="15028"/>
    <cellStyle name="20% - Accent2 4 2 2 3 2 2" xfId="15029"/>
    <cellStyle name="20% - Accent2 4 2 2 3 2 3" xfId="15030"/>
    <cellStyle name="20% - Accent2 4 2 2 3 2 4" xfId="15031"/>
    <cellStyle name="20% - Accent2 4 2 2 3 3" xfId="15032"/>
    <cellStyle name="20% - Accent2 4 2 2 3 4" xfId="15033"/>
    <cellStyle name="20% - Accent2 4 2 2 3 5" xfId="15034"/>
    <cellStyle name="20% - Accent2 4 2 2 4" xfId="15035"/>
    <cellStyle name="20% - Accent2 4 2 2 4 2" xfId="15036"/>
    <cellStyle name="20% - Accent2 4 2 2 4 3" xfId="15037"/>
    <cellStyle name="20% - Accent2 4 2 2 4 4" xfId="15038"/>
    <cellStyle name="20% - Accent2 4 2 2 5" xfId="15039"/>
    <cellStyle name="20% - Accent2 4 2 2 6" xfId="15040"/>
    <cellStyle name="20% - Accent2 4 2 2 7" xfId="15041"/>
    <cellStyle name="20% - Accent2 4 2 3" xfId="78"/>
    <cellStyle name="20% - Accent2 4 2 3 2" xfId="15042"/>
    <cellStyle name="20% - Accent2 4 2 3 2 2" xfId="15043"/>
    <cellStyle name="20% - Accent2 4 2 3 2 3" xfId="15044"/>
    <cellStyle name="20% - Accent2 4 2 3 2 4" xfId="15045"/>
    <cellStyle name="20% - Accent2 4 2 3 3" xfId="15046"/>
    <cellStyle name="20% - Accent2 4 2 3 4" xfId="15047"/>
    <cellStyle name="20% - Accent2 4 2 3 5" xfId="15048"/>
    <cellStyle name="20% - Accent2 4 2 4" xfId="79"/>
    <cellStyle name="20% - Accent2 4 2 4 2" xfId="15049"/>
    <cellStyle name="20% - Accent2 4 2 4 2 2" xfId="15050"/>
    <cellStyle name="20% - Accent2 4 2 4 2 3" xfId="15051"/>
    <cellStyle name="20% - Accent2 4 2 4 2 4" xfId="15052"/>
    <cellStyle name="20% - Accent2 4 2 4 3" xfId="15053"/>
    <cellStyle name="20% - Accent2 4 2 4 4" xfId="15054"/>
    <cellStyle name="20% - Accent2 4 2 4 5" xfId="15055"/>
    <cellStyle name="20% - Accent2 4 2 5" xfId="15056"/>
    <cellStyle name="20% - Accent2 4 2 5 2" xfId="15057"/>
    <cellStyle name="20% - Accent2 4 2 5 3" xfId="15058"/>
    <cellStyle name="20% - Accent2 4 2 5 4" xfId="15059"/>
    <cellStyle name="20% - Accent2 4 2 6" xfId="15060"/>
    <cellStyle name="20% - Accent2 4 2 7" xfId="15061"/>
    <cellStyle name="20% - Accent2 4 2 8" xfId="15062"/>
    <cellStyle name="20% - Accent2 4 3" xfId="80"/>
    <cellStyle name="20% - Accent2 4 3 2" xfId="81"/>
    <cellStyle name="20% - Accent2 4 3 2 2" xfId="15063"/>
    <cellStyle name="20% - Accent2 4 3 2 2 2" xfId="15064"/>
    <cellStyle name="20% - Accent2 4 3 2 2 3" xfId="15065"/>
    <cellStyle name="20% - Accent2 4 3 2 2 4" xfId="15066"/>
    <cellStyle name="20% - Accent2 4 3 2 3" xfId="15067"/>
    <cellStyle name="20% - Accent2 4 3 2 4" xfId="15068"/>
    <cellStyle name="20% - Accent2 4 3 2 5" xfId="15069"/>
    <cellStyle name="20% - Accent2 4 3 3" xfId="82"/>
    <cellStyle name="20% - Accent2 4 3 3 2" xfId="15070"/>
    <cellStyle name="20% - Accent2 4 3 3 2 2" xfId="15071"/>
    <cellStyle name="20% - Accent2 4 3 3 2 3" xfId="15072"/>
    <cellStyle name="20% - Accent2 4 3 3 2 4" xfId="15073"/>
    <cellStyle name="20% - Accent2 4 3 3 3" xfId="15074"/>
    <cellStyle name="20% - Accent2 4 3 3 4" xfId="15075"/>
    <cellStyle name="20% - Accent2 4 3 3 5" xfId="15076"/>
    <cellStyle name="20% - Accent2 4 3 4" xfId="15077"/>
    <cellStyle name="20% - Accent2 4 3 4 2" xfId="15078"/>
    <cellStyle name="20% - Accent2 4 3 4 3" xfId="15079"/>
    <cellStyle name="20% - Accent2 4 3 4 4" xfId="15080"/>
    <cellStyle name="20% - Accent2 4 3 5" xfId="15081"/>
    <cellStyle name="20% - Accent2 4 3 6" xfId="15082"/>
    <cellStyle name="20% - Accent2 4 3 7" xfId="15083"/>
    <cellStyle name="20% - Accent2 4 4" xfId="83"/>
    <cellStyle name="20% - Accent2 4 4 2" xfId="15084"/>
    <cellStyle name="20% - Accent2 4 4 2 2" xfId="15085"/>
    <cellStyle name="20% - Accent2 4 4 2 3" xfId="15086"/>
    <cellStyle name="20% - Accent2 4 4 2 4" xfId="15087"/>
    <cellStyle name="20% - Accent2 4 4 3" xfId="15088"/>
    <cellStyle name="20% - Accent2 4 4 4" xfId="15089"/>
    <cellStyle name="20% - Accent2 4 4 5" xfId="15090"/>
    <cellStyle name="20% - Accent2 4 5" xfId="84"/>
    <cellStyle name="20% - Accent2 4 5 2" xfId="15091"/>
    <cellStyle name="20% - Accent2 4 5 2 2" xfId="15092"/>
    <cellStyle name="20% - Accent2 4 5 2 3" xfId="15093"/>
    <cellStyle name="20% - Accent2 4 5 2 4" xfId="15094"/>
    <cellStyle name="20% - Accent2 4 5 3" xfId="15095"/>
    <cellStyle name="20% - Accent2 4 5 4" xfId="15096"/>
    <cellStyle name="20% - Accent2 4 5 5" xfId="15097"/>
    <cellStyle name="20% - Accent2 4 6" xfId="15098"/>
    <cellStyle name="20% - Accent2 4 6 2" xfId="15099"/>
    <cellStyle name="20% - Accent2 4 6 3" xfId="15100"/>
    <cellStyle name="20% - Accent2 4 6 4" xfId="15101"/>
    <cellStyle name="20% - Accent2 4 7" xfId="15102"/>
    <cellStyle name="20% - Accent2 4 8" xfId="15103"/>
    <cellStyle name="20% - Accent2 4 9" xfId="15104"/>
    <cellStyle name="20% - Accent2 5" xfId="85"/>
    <cellStyle name="20% - Accent2 5 10" xfId="15105"/>
    <cellStyle name="20% - Accent2 5 2" xfId="86"/>
    <cellStyle name="20% - Accent2 5 2 2" xfId="87"/>
    <cellStyle name="20% - Accent2 5 2 2 2" xfId="15106"/>
    <cellStyle name="20% - Accent2 5 2 2 2 2" xfId="15107"/>
    <cellStyle name="20% - Accent2 5 2 2 2 3" xfId="15108"/>
    <cellStyle name="20% - Accent2 5 2 2 2 4" xfId="15109"/>
    <cellStyle name="20% - Accent2 5 2 2 3" xfId="15110"/>
    <cellStyle name="20% - Accent2 5 2 2 4" xfId="15111"/>
    <cellStyle name="20% - Accent2 5 2 2 5" xfId="15112"/>
    <cellStyle name="20% - Accent2 5 2 3" xfId="88"/>
    <cellStyle name="20% - Accent2 5 2 3 2" xfId="15113"/>
    <cellStyle name="20% - Accent2 5 2 3 2 2" xfId="15114"/>
    <cellStyle name="20% - Accent2 5 2 3 2 3" xfId="15115"/>
    <cellStyle name="20% - Accent2 5 2 3 2 4" xfId="15116"/>
    <cellStyle name="20% - Accent2 5 2 3 3" xfId="15117"/>
    <cellStyle name="20% - Accent2 5 2 3 4" xfId="15118"/>
    <cellStyle name="20% - Accent2 5 2 3 5" xfId="15119"/>
    <cellStyle name="20% - Accent2 5 2 4" xfId="15120"/>
    <cellStyle name="20% - Accent2 5 2 4 2" xfId="15121"/>
    <cellStyle name="20% - Accent2 5 2 4 3" xfId="15122"/>
    <cellStyle name="20% - Accent2 5 2 4 4" xfId="15123"/>
    <cellStyle name="20% - Accent2 5 2 5" xfId="15124"/>
    <cellStyle name="20% - Accent2 5 2 6" xfId="15125"/>
    <cellStyle name="20% - Accent2 5 2 7" xfId="15126"/>
    <cellStyle name="20% - Accent2 5 3" xfId="89"/>
    <cellStyle name="20% - Accent2 5 3 2" xfId="15127"/>
    <cellStyle name="20% - Accent2 5 3 2 2" xfId="15128"/>
    <cellStyle name="20% - Accent2 5 3 2 3" xfId="15129"/>
    <cellStyle name="20% - Accent2 5 3 2 4" xfId="15130"/>
    <cellStyle name="20% - Accent2 5 3 3" xfId="15131"/>
    <cellStyle name="20% - Accent2 5 3 4" xfId="15132"/>
    <cellStyle name="20% - Accent2 5 3 5" xfId="15133"/>
    <cellStyle name="20% - Accent2 5 4" xfId="90"/>
    <cellStyle name="20% - Accent2 5 4 2" xfId="15134"/>
    <cellStyle name="20% - Accent2 5 4 2 2" xfId="15135"/>
    <cellStyle name="20% - Accent2 5 4 2 3" xfId="15136"/>
    <cellStyle name="20% - Accent2 5 4 2 4" xfId="15137"/>
    <cellStyle name="20% - Accent2 5 4 3" xfId="15138"/>
    <cellStyle name="20% - Accent2 5 4 4" xfId="15139"/>
    <cellStyle name="20% - Accent2 5 4 5" xfId="15140"/>
    <cellStyle name="20% - Accent2 5 5" xfId="15141"/>
    <cellStyle name="20% - Accent2 5 5 2" xfId="15142"/>
    <cellStyle name="20% - Accent2 5 5 3" xfId="15143"/>
    <cellStyle name="20% - Accent2 5 5 4" xfId="15144"/>
    <cellStyle name="20% - Accent2 5 6" xfId="15145"/>
    <cellStyle name="20% - Accent2 5 7" xfId="15146"/>
    <cellStyle name="20% - Accent2 5 8" xfId="15147"/>
    <cellStyle name="20% - Accent2 5 9" xfId="15148"/>
    <cellStyle name="20% - Accent2 6" xfId="91"/>
    <cellStyle name="20% - Accent2 6 2" xfId="92"/>
    <cellStyle name="20% - Accent2 6 2 2" xfId="15149"/>
    <cellStyle name="20% - Accent2 6 2 2 2" xfId="15150"/>
    <cellStyle name="20% - Accent2 6 2 2 3" xfId="15151"/>
    <cellStyle name="20% - Accent2 6 2 2 4" xfId="15152"/>
    <cellStyle name="20% - Accent2 6 2 3" xfId="15153"/>
    <cellStyle name="20% - Accent2 6 2 4" xfId="15154"/>
    <cellStyle name="20% - Accent2 6 2 5" xfId="15155"/>
    <cellStyle name="20% - Accent2 6 3" xfId="93"/>
    <cellStyle name="20% - Accent2 6 3 2" xfId="15156"/>
    <cellStyle name="20% - Accent2 6 3 2 2" xfId="15157"/>
    <cellStyle name="20% - Accent2 6 3 2 3" xfId="15158"/>
    <cellStyle name="20% - Accent2 6 3 2 4" xfId="15159"/>
    <cellStyle name="20% - Accent2 6 3 3" xfId="15160"/>
    <cellStyle name="20% - Accent2 6 3 4" xfId="15161"/>
    <cellStyle name="20% - Accent2 6 3 5" xfId="15162"/>
    <cellStyle name="20% - Accent2 6 4" xfId="15163"/>
    <cellStyle name="20% - Accent2 6 4 2" xfId="15164"/>
    <cellStyle name="20% - Accent2 6 4 3" xfId="15165"/>
    <cellStyle name="20% - Accent2 6 4 4" xfId="15166"/>
    <cellStyle name="20% - Accent2 6 5" xfId="15167"/>
    <cellStyle name="20% - Accent2 6 6" xfId="15168"/>
    <cellStyle name="20% - Accent2 6 7" xfId="15169"/>
    <cellStyle name="20% - Accent2 6 8" xfId="15170"/>
    <cellStyle name="20% - Accent2 6 9" xfId="15171"/>
    <cellStyle name="20% - Accent2 7" xfId="94"/>
    <cellStyle name="20% - Accent2 7 2" xfId="15172"/>
    <cellStyle name="20% - Accent2 7 2 2" xfId="15173"/>
    <cellStyle name="20% - Accent2 7 2 3" xfId="15174"/>
    <cellStyle name="20% - Accent2 7 2 4" xfId="15175"/>
    <cellStyle name="20% - Accent2 7 3" xfId="15176"/>
    <cellStyle name="20% - Accent2 7 4" xfId="15177"/>
    <cellStyle name="20% - Accent2 7 5" xfId="15178"/>
    <cellStyle name="20% - Accent2 7 6" xfId="15179"/>
    <cellStyle name="20% - Accent2 7 7" xfId="15180"/>
    <cellStyle name="20% - Accent2 7 8" xfId="15181"/>
    <cellStyle name="20% - Accent2 8" xfId="95"/>
    <cellStyle name="20% - Accent2 8 2" xfId="15182"/>
    <cellStyle name="20% - Accent2 8 2 2" xfId="15183"/>
    <cellStyle name="20% - Accent2 8 2 3" xfId="15184"/>
    <cellStyle name="20% - Accent2 8 2 4" xfId="15185"/>
    <cellStyle name="20% - Accent2 8 3" xfId="15186"/>
    <cellStyle name="20% - Accent2 8 4" xfId="15187"/>
    <cellStyle name="20% - Accent2 8 5" xfId="15188"/>
    <cellStyle name="20% - Accent2 8 6" xfId="15189"/>
    <cellStyle name="20% - Accent2 8 7" xfId="15190"/>
    <cellStyle name="20% - Accent2 8 8" xfId="15191"/>
    <cellStyle name="20% - Accent2 9" xfId="15192"/>
    <cellStyle name="20% - Accent2 9 2" xfId="15193"/>
    <cellStyle name="20% - Accent2 9 3" xfId="15194"/>
    <cellStyle name="20% - Accent2 9 4" xfId="15195"/>
    <cellStyle name="20% - Accent2 9 5" xfId="15196"/>
    <cellStyle name="20% - Accent2 9 6" xfId="15197"/>
    <cellStyle name="20% - Accent3 10" xfId="15198"/>
    <cellStyle name="20% - Accent3 10 2" xfId="15199"/>
    <cellStyle name="20% - Accent3 10 3" xfId="15200"/>
    <cellStyle name="20% - Accent3 10 4" xfId="15201"/>
    <cellStyle name="20% - Accent3 10 5" xfId="15202"/>
    <cellStyle name="20% - Accent3 11" xfId="15203"/>
    <cellStyle name="20% - Accent3 11 2" xfId="15204"/>
    <cellStyle name="20% - Accent3 11 3" xfId="15205"/>
    <cellStyle name="20% - Accent3 12" xfId="15206"/>
    <cellStyle name="20% - Accent3 13" xfId="15207"/>
    <cellStyle name="20% - Accent3 13 2" xfId="15208"/>
    <cellStyle name="20% - Accent3 13 3" xfId="15209"/>
    <cellStyle name="20% - Accent3 14" xfId="15210"/>
    <cellStyle name="20% - Accent3 15" xfId="40111"/>
    <cellStyle name="20% - Accent3 16" xfId="40112"/>
    <cellStyle name="20% - Accent3 17" xfId="40113"/>
    <cellStyle name="20% - Accent3 2" xfId="96"/>
    <cellStyle name="20% - Accent3 2 10" xfId="15211"/>
    <cellStyle name="20% - Accent3 2 11" xfId="15212"/>
    <cellStyle name="20% - Accent3 2 12" xfId="15213"/>
    <cellStyle name="20% - Accent3 2 2" xfId="97"/>
    <cellStyle name="20% - Accent3 2 2 2" xfId="98"/>
    <cellStyle name="20% - Accent3 2 2 2 2" xfId="99"/>
    <cellStyle name="20% - Accent3 2 2 2 2 2" xfId="15214"/>
    <cellStyle name="20% - Accent3 2 2 2 2 2 2" xfId="15215"/>
    <cellStyle name="20% - Accent3 2 2 2 2 2 3" xfId="15216"/>
    <cellStyle name="20% - Accent3 2 2 2 2 2 4" xfId="15217"/>
    <cellStyle name="20% - Accent3 2 2 2 2 3" xfId="15218"/>
    <cellStyle name="20% - Accent3 2 2 2 2 4" xfId="15219"/>
    <cellStyle name="20% - Accent3 2 2 2 2 5" xfId="15220"/>
    <cellStyle name="20% - Accent3 2 2 2 3" xfId="100"/>
    <cellStyle name="20% - Accent3 2 2 2 3 2" xfId="15221"/>
    <cellStyle name="20% - Accent3 2 2 2 3 2 2" xfId="15222"/>
    <cellStyle name="20% - Accent3 2 2 2 3 2 3" xfId="15223"/>
    <cellStyle name="20% - Accent3 2 2 2 3 2 4" xfId="15224"/>
    <cellStyle name="20% - Accent3 2 2 2 3 3" xfId="15225"/>
    <cellStyle name="20% - Accent3 2 2 2 3 4" xfId="15226"/>
    <cellStyle name="20% - Accent3 2 2 2 3 5" xfId="15227"/>
    <cellStyle name="20% - Accent3 2 2 2 4" xfId="15228"/>
    <cellStyle name="20% - Accent3 2 2 2 4 2" xfId="15229"/>
    <cellStyle name="20% - Accent3 2 2 2 4 3" xfId="15230"/>
    <cellStyle name="20% - Accent3 2 2 2 4 4" xfId="15231"/>
    <cellStyle name="20% - Accent3 2 2 2 5" xfId="15232"/>
    <cellStyle name="20% - Accent3 2 2 2 6" xfId="15233"/>
    <cellStyle name="20% - Accent3 2 2 2 7" xfId="15234"/>
    <cellStyle name="20% - Accent3 2 2 3" xfId="101"/>
    <cellStyle name="20% - Accent3 2 2 3 2" xfId="15235"/>
    <cellStyle name="20% - Accent3 2 2 3 2 2" xfId="15236"/>
    <cellStyle name="20% - Accent3 2 2 3 2 3" xfId="15237"/>
    <cellStyle name="20% - Accent3 2 2 3 2 4" xfId="15238"/>
    <cellStyle name="20% - Accent3 2 2 3 3" xfId="15239"/>
    <cellStyle name="20% - Accent3 2 2 3 4" xfId="15240"/>
    <cellStyle name="20% - Accent3 2 2 3 5" xfId="15241"/>
    <cellStyle name="20% - Accent3 2 2 4" xfId="102"/>
    <cellStyle name="20% - Accent3 2 2 4 2" xfId="15242"/>
    <cellStyle name="20% - Accent3 2 2 4 2 2" xfId="15243"/>
    <cellStyle name="20% - Accent3 2 2 4 2 3" xfId="15244"/>
    <cellStyle name="20% - Accent3 2 2 4 2 4" xfId="15245"/>
    <cellStyle name="20% - Accent3 2 2 4 3" xfId="15246"/>
    <cellStyle name="20% - Accent3 2 2 4 4" xfId="15247"/>
    <cellStyle name="20% - Accent3 2 2 4 5" xfId="15248"/>
    <cellStyle name="20% - Accent3 2 2 5" xfId="15249"/>
    <cellStyle name="20% - Accent3 2 2 5 2" xfId="15250"/>
    <cellStyle name="20% - Accent3 2 2 5 3" xfId="15251"/>
    <cellStyle name="20% - Accent3 2 2 5 4" xfId="15252"/>
    <cellStyle name="20% - Accent3 2 2 6" xfId="15253"/>
    <cellStyle name="20% - Accent3 2 2 7" xfId="15254"/>
    <cellStyle name="20% - Accent3 2 2 8" xfId="15255"/>
    <cellStyle name="20% - Accent3 2 2 9" xfId="15256"/>
    <cellStyle name="20% - Accent3 2 3" xfId="103"/>
    <cellStyle name="20% - Accent3 2 3 2" xfId="104"/>
    <cellStyle name="20% - Accent3 2 3 2 2" xfId="15257"/>
    <cellStyle name="20% - Accent3 2 3 2 2 2" xfId="15258"/>
    <cellStyle name="20% - Accent3 2 3 2 2 3" xfId="15259"/>
    <cellStyle name="20% - Accent3 2 3 2 2 4" xfId="15260"/>
    <cellStyle name="20% - Accent3 2 3 2 3" xfId="15261"/>
    <cellStyle name="20% - Accent3 2 3 2 4" xfId="15262"/>
    <cellStyle name="20% - Accent3 2 3 2 5" xfId="15263"/>
    <cellStyle name="20% - Accent3 2 3 3" xfId="105"/>
    <cellStyle name="20% - Accent3 2 3 3 2" xfId="15264"/>
    <cellStyle name="20% - Accent3 2 3 3 2 2" xfId="15265"/>
    <cellStyle name="20% - Accent3 2 3 3 2 3" xfId="15266"/>
    <cellStyle name="20% - Accent3 2 3 3 2 4" xfId="15267"/>
    <cellStyle name="20% - Accent3 2 3 3 3" xfId="15268"/>
    <cellStyle name="20% - Accent3 2 3 3 4" xfId="15269"/>
    <cellStyle name="20% - Accent3 2 3 3 5" xfId="15270"/>
    <cellStyle name="20% - Accent3 2 3 4" xfId="15271"/>
    <cellStyle name="20% - Accent3 2 3 4 2" xfId="15272"/>
    <cellStyle name="20% - Accent3 2 3 4 3" xfId="15273"/>
    <cellStyle name="20% - Accent3 2 3 4 4" xfId="15274"/>
    <cellStyle name="20% - Accent3 2 3 5" xfId="15275"/>
    <cellStyle name="20% - Accent3 2 3 6" xfId="15276"/>
    <cellStyle name="20% - Accent3 2 3 7" xfId="15277"/>
    <cellStyle name="20% - Accent3 2 3 8" xfId="15278"/>
    <cellStyle name="20% - Accent3 2 4" xfId="106"/>
    <cellStyle name="20% - Accent3 2 4 2" xfId="15279"/>
    <cellStyle name="20% - Accent3 2 4 2 2" xfId="15280"/>
    <cellStyle name="20% - Accent3 2 4 2 3" xfId="15281"/>
    <cellStyle name="20% - Accent3 2 4 2 4" xfId="15282"/>
    <cellStyle name="20% - Accent3 2 4 3" xfId="15283"/>
    <cellStyle name="20% - Accent3 2 4 4" xfId="15284"/>
    <cellStyle name="20% - Accent3 2 4 5" xfId="15285"/>
    <cellStyle name="20% - Accent3 2 4 6" xfId="15286"/>
    <cellStyle name="20% - Accent3 2 5" xfId="107"/>
    <cellStyle name="20% - Accent3 2 5 2" xfId="15287"/>
    <cellStyle name="20% - Accent3 2 5 2 2" xfId="15288"/>
    <cellStyle name="20% - Accent3 2 5 2 3" xfId="15289"/>
    <cellStyle name="20% - Accent3 2 5 2 4" xfId="15290"/>
    <cellStyle name="20% - Accent3 2 5 3" xfId="15291"/>
    <cellStyle name="20% - Accent3 2 5 4" xfId="15292"/>
    <cellStyle name="20% - Accent3 2 5 5" xfId="15293"/>
    <cellStyle name="20% - Accent3 2 5 6" xfId="15294"/>
    <cellStyle name="20% - Accent3 2 6" xfId="15295"/>
    <cellStyle name="20% - Accent3 2 6 2" xfId="15296"/>
    <cellStyle name="20% - Accent3 2 6 3" xfId="15297"/>
    <cellStyle name="20% - Accent3 2 6 4" xfId="15298"/>
    <cellStyle name="20% - Accent3 2 7" xfId="15299"/>
    <cellStyle name="20% - Accent3 2 8" xfId="15300"/>
    <cellStyle name="20% - Accent3 2 9" xfId="15301"/>
    <cellStyle name="20% - Accent3 3" xfId="108"/>
    <cellStyle name="20% - Accent3 3 10" xfId="15302"/>
    <cellStyle name="20% - Accent3 3 11" xfId="15303"/>
    <cellStyle name="20% - Accent3 3 2" xfId="109"/>
    <cellStyle name="20% - Accent3 3 2 2" xfId="110"/>
    <cellStyle name="20% - Accent3 3 2 2 2" xfId="111"/>
    <cellStyle name="20% - Accent3 3 2 2 2 2" xfId="15304"/>
    <cellStyle name="20% - Accent3 3 2 2 2 2 2" xfId="15305"/>
    <cellStyle name="20% - Accent3 3 2 2 2 2 3" xfId="15306"/>
    <cellStyle name="20% - Accent3 3 2 2 2 2 4" xfId="15307"/>
    <cellStyle name="20% - Accent3 3 2 2 2 3" xfId="15308"/>
    <cellStyle name="20% - Accent3 3 2 2 2 4" xfId="15309"/>
    <cellStyle name="20% - Accent3 3 2 2 2 5" xfId="15310"/>
    <cellStyle name="20% - Accent3 3 2 2 3" xfId="112"/>
    <cellStyle name="20% - Accent3 3 2 2 3 2" xfId="15311"/>
    <cellStyle name="20% - Accent3 3 2 2 3 2 2" xfId="15312"/>
    <cellStyle name="20% - Accent3 3 2 2 3 2 3" xfId="15313"/>
    <cellStyle name="20% - Accent3 3 2 2 3 2 4" xfId="15314"/>
    <cellStyle name="20% - Accent3 3 2 2 3 3" xfId="15315"/>
    <cellStyle name="20% - Accent3 3 2 2 3 4" xfId="15316"/>
    <cellStyle name="20% - Accent3 3 2 2 3 5" xfId="15317"/>
    <cellStyle name="20% - Accent3 3 2 2 4" xfId="15318"/>
    <cellStyle name="20% - Accent3 3 2 2 4 2" xfId="15319"/>
    <cellStyle name="20% - Accent3 3 2 2 4 3" xfId="15320"/>
    <cellStyle name="20% - Accent3 3 2 2 4 4" xfId="15321"/>
    <cellStyle name="20% - Accent3 3 2 2 5" xfId="15322"/>
    <cellStyle name="20% - Accent3 3 2 2 6" xfId="15323"/>
    <cellStyle name="20% - Accent3 3 2 2 7" xfId="15324"/>
    <cellStyle name="20% - Accent3 3 2 3" xfId="113"/>
    <cellStyle name="20% - Accent3 3 2 3 2" xfId="15325"/>
    <cellStyle name="20% - Accent3 3 2 3 2 2" xfId="15326"/>
    <cellStyle name="20% - Accent3 3 2 3 2 3" xfId="15327"/>
    <cellStyle name="20% - Accent3 3 2 3 2 4" xfId="15328"/>
    <cellStyle name="20% - Accent3 3 2 3 3" xfId="15329"/>
    <cellStyle name="20% - Accent3 3 2 3 4" xfId="15330"/>
    <cellStyle name="20% - Accent3 3 2 3 5" xfId="15331"/>
    <cellStyle name="20% - Accent3 3 2 4" xfId="114"/>
    <cellStyle name="20% - Accent3 3 2 4 2" xfId="15332"/>
    <cellStyle name="20% - Accent3 3 2 4 2 2" xfId="15333"/>
    <cellStyle name="20% - Accent3 3 2 4 2 3" xfId="15334"/>
    <cellStyle name="20% - Accent3 3 2 4 2 4" xfId="15335"/>
    <cellStyle name="20% - Accent3 3 2 4 3" xfId="15336"/>
    <cellStyle name="20% - Accent3 3 2 4 4" xfId="15337"/>
    <cellStyle name="20% - Accent3 3 2 4 5" xfId="15338"/>
    <cellStyle name="20% - Accent3 3 2 5" xfId="15339"/>
    <cellStyle name="20% - Accent3 3 2 5 2" xfId="15340"/>
    <cellStyle name="20% - Accent3 3 2 5 3" xfId="15341"/>
    <cellStyle name="20% - Accent3 3 2 5 4" xfId="15342"/>
    <cellStyle name="20% - Accent3 3 2 6" xfId="15343"/>
    <cellStyle name="20% - Accent3 3 2 7" xfId="15344"/>
    <cellStyle name="20% - Accent3 3 2 8" xfId="15345"/>
    <cellStyle name="20% - Accent3 3 3" xfId="115"/>
    <cellStyle name="20% - Accent3 3 3 2" xfId="116"/>
    <cellStyle name="20% - Accent3 3 3 2 2" xfId="15346"/>
    <cellStyle name="20% - Accent3 3 3 2 2 2" xfId="15347"/>
    <cellStyle name="20% - Accent3 3 3 2 2 3" xfId="15348"/>
    <cellStyle name="20% - Accent3 3 3 2 2 4" xfId="15349"/>
    <cellStyle name="20% - Accent3 3 3 2 3" xfId="15350"/>
    <cellStyle name="20% - Accent3 3 3 2 4" xfId="15351"/>
    <cellStyle name="20% - Accent3 3 3 2 5" xfId="15352"/>
    <cellStyle name="20% - Accent3 3 3 3" xfId="117"/>
    <cellStyle name="20% - Accent3 3 3 3 2" xfId="15353"/>
    <cellStyle name="20% - Accent3 3 3 3 2 2" xfId="15354"/>
    <cellStyle name="20% - Accent3 3 3 3 2 3" xfId="15355"/>
    <cellStyle name="20% - Accent3 3 3 3 2 4" xfId="15356"/>
    <cellStyle name="20% - Accent3 3 3 3 3" xfId="15357"/>
    <cellStyle name="20% - Accent3 3 3 3 4" xfId="15358"/>
    <cellStyle name="20% - Accent3 3 3 3 5" xfId="15359"/>
    <cellStyle name="20% - Accent3 3 3 4" xfId="15360"/>
    <cellStyle name="20% - Accent3 3 3 4 2" xfId="15361"/>
    <cellStyle name="20% - Accent3 3 3 4 3" xfId="15362"/>
    <cellStyle name="20% - Accent3 3 3 4 4" xfId="15363"/>
    <cellStyle name="20% - Accent3 3 3 5" xfId="15364"/>
    <cellStyle name="20% - Accent3 3 3 6" xfId="15365"/>
    <cellStyle name="20% - Accent3 3 3 7" xfId="15366"/>
    <cellStyle name="20% - Accent3 3 4" xfId="118"/>
    <cellStyle name="20% - Accent3 3 4 2" xfId="15367"/>
    <cellStyle name="20% - Accent3 3 4 2 2" xfId="15368"/>
    <cellStyle name="20% - Accent3 3 4 2 3" xfId="15369"/>
    <cellStyle name="20% - Accent3 3 4 2 4" xfId="15370"/>
    <cellStyle name="20% - Accent3 3 4 3" xfId="15371"/>
    <cellStyle name="20% - Accent3 3 4 4" xfId="15372"/>
    <cellStyle name="20% - Accent3 3 4 5" xfId="15373"/>
    <cellStyle name="20% - Accent3 3 5" xfId="119"/>
    <cellStyle name="20% - Accent3 3 5 2" xfId="15374"/>
    <cellStyle name="20% - Accent3 3 5 2 2" xfId="15375"/>
    <cellStyle name="20% - Accent3 3 5 2 3" xfId="15376"/>
    <cellStyle name="20% - Accent3 3 5 2 4" xfId="15377"/>
    <cellStyle name="20% - Accent3 3 5 3" xfId="15378"/>
    <cellStyle name="20% - Accent3 3 5 4" xfId="15379"/>
    <cellStyle name="20% - Accent3 3 5 5" xfId="15380"/>
    <cellStyle name="20% - Accent3 3 6" xfId="15381"/>
    <cellStyle name="20% - Accent3 3 6 2" xfId="15382"/>
    <cellStyle name="20% - Accent3 3 6 3" xfId="15383"/>
    <cellStyle name="20% - Accent3 3 6 4" xfId="15384"/>
    <cellStyle name="20% - Accent3 3 7" xfId="15385"/>
    <cellStyle name="20% - Accent3 3 8" xfId="15386"/>
    <cellStyle name="20% - Accent3 3 9" xfId="15387"/>
    <cellStyle name="20% - Accent3 4" xfId="120"/>
    <cellStyle name="20% - Accent3 4 10" xfId="15388"/>
    <cellStyle name="20% - Accent3 4 11" xfId="15389"/>
    <cellStyle name="20% - Accent3 4 2" xfId="121"/>
    <cellStyle name="20% - Accent3 4 2 2" xfId="122"/>
    <cellStyle name="20% - Accent3 4 2 2 2" xfId="123"/>
    <cellStyle name="20% - Accent3 4 2 2 2 2" xfId="15390"/>
    <cellStyle name="20% - Accent3 4 2 2 2 2 2" xfId="15391"/>
    <cellStyle name="20% - Accent3 4 2 2 2 2 3" xfId="15392"/>
    <cellStyle name="20% - Accent3 4 2 2 2 2 4" xfId="15393"/>
    <cellStyle name="20% - Accent3 4 2 2 2 3" xfId="15394"/>
    <cellStyle name="20% - Accent3 4 2 2 2 4" xfId="15395"/>
    <cellStyle name="20% - Accent3 4 2 2 2 5" xfId="15396"/>
    <cellStyle name="20% - Accent3 4 2 2 3" xfId="124"/>
    <cellStyle name="20% - Accent3 4 2 2 3 2" xfId="15397"/>
    <cellStyle name="20% - Accent3 4 2 2 3 2 2" xfId="15398"/>
    <cellStyle name="20% - Accent3 4 2 2 3 2 3" xfId="15399"/>
    <cellStyle name="20% - Accent3 4 2 2 3 2 4" xfId="15400"/>
    <cellStyle name="20% - Accent3 4 2 2 3 3" xfId="15401"/>
    <cellStyle name="20% - Accent3 4 2 2 3 4" xfId="15402"/>
    <cellStyle name="20% - Accent3 4 2 2 3 5" xfId="15403"/>
    <cellStyle name="20% - Accent3 4 2 2 4" xfId="15404"/>
    <cellStyle name="20% - Accent3 4 2 2 4 2" xfId="15405"/>
    <cellStyle name="20% - Accent3 4 2 2 4 3" xfId="15406"/>
    <cellStyle name="20% - Accent3 4 2 2 4 4" xfId="15407"/>
    <cellStyle name="20% - Accent3 4 2 2 5" xfId="15408"/>
    <cellStyle name="20% - Accent3 4 2 2 6" xfId="15409"/>
    <cellStyle name="20% - Accent3 4 2 2 7" xfId="15410"/>
    <cellStyle name="20% - Accent3 4 2 3" xfId="125"/>
    <cellStyle name="20% - Accent3 4 2 3 2" xfId="15411"/>
    <cellStyle name="20% - Accent3 4 2 3 2 2" xfId="15412"/>
    <cellStyle name="20% - Accent3 4 2 3 2 3" xfId="15413"/>
    <cellStyle name="20% - Accent3 4 2 3 2 4" xfId="15414"/>
    <cellStyle name="20% - Accent3 4 2 3 3" xfId="15415"/>
    <cellStyle name="20% - Accent3 4 2 3 4" xfId="15416"/>
    <cellStyle name="20% - Accent3 4 2 3 5" xfId="15417"/>
    <cellStyle name="20% - Accent3 4 2 4" xfId="126"/>
    <cellStyle name="20% - Accent3 4 2 4 2" xfId="15418"/>
    <cellStyle name="20% - Accent3 4 2 4 2 2" xfId="15419"/>
    <cellStyle name="20% - Accent3 4 2 4 2 3" xfId="15420"/>
    <cellStyle name="20% - Accent3 4 2 4 2 4" xfId="15421"/>
    <cellStyle name="20% - Accent3 4 2 4 3" xfId="15422"/>
    <cellStyle name="20% - Accent3 4 2 4 4" xfId="15423"/>
    <cellStyle name="20% - Accent3 4 2 4 5" xfId="15424"/>
    <cellStyle name="20% - Accent3 4 2 5" xfId="15425"/>
    <cellStyle name="20% - Accent3 4 2 5 2" xfId="15426"/>
    <cellStyle name="20% - Accent3 4 2 5 3" xfId="15427"/>
    <cellStyle name="20% - Accent3 4 2 5 4" xfId="15428"/>
    <cellStyle name="20% - Accent3 4 2 6" xfId="15429"/>
    <cellStyle name="20% - Accent3 4 2 7" xfId="15430"/>
    <cellStyle name="20% - Accent3 4 2 8" xfId="15431"/>
    <cellStyle name="20% - Accent3 4 3" xfId="127"/>
    <cellStyle name="20% - Accent3 4 3 2" xfId="128"/>
    <cellStyle name="20% - Accent3 4 3 2 2" xfId="15432"/>
    <cellStyle name="20% - Accent3 4 3 2 2 2" xfId="15433"/>
    <cellStyle name="20% - Accent3 4 3 2 2 3" xfId="15434"/>
    <cellStyle name="20% - Accent3 4 3 2 2 4" xfId="15435"/>
    <cellStyle name="20% - Accent3 4 3 2 3" xfId="15436"/>
    <cellStyle name="20% - Accent3 4 3 2 4" xfId="15437"/>
    <cellStyle name="20% - Accent3 4 3 2 5" xfId="15438"/>
    <cellStyle name="20% - Accent3 4 3 3" xfId="129"/>
    <cellStyle name="20% - Accent3 4 3 3 2" xfId="15439"/>
    <cellStyle name="20% - Accent3 4 3 3 2 2" xfId="15440"/>
    <cellStyle name="20% - Accent3 4 3 3 2 3" xfId="15441"/>
    <cellStyle name="20% - Accent3 4 3 3 2 4" xfId="15442"/>
    <cellStyle name="20% - Accent3 4 3 3 3" xfId="15443"/>
    <cellStyle name="20% - Accent3 4 3 3 4" xfId="15444"/>
    <cellStyle name="20% - Accent3 4 3 3 5" xfId="15445"/>
    <cellStyle name="20% - Accent3 4 3 4" xfId="15446"/>
    <cellStyle name="20% - Accent3 4 3 4 2" xfId="15447"/>
    <cellStyle name="20% - Accent3 4 3 4 3" xfId="15448"/>
    <cellStyle name="20% - Accent3 4 3 4 4" xfId="15449"/>
    <cellStyle name="20% - Accent3 4 3 5" xfId="15450"/>
    <cellStyle name="20% - Accent3 4 3 6" xfId="15451"/>
    <cellStyle name="20% - Accent3 4 3 7" xfId="15452"/>
    <cellStyle name="20% - Accent3 4 4" xfId="130"/>
    <cellStyle name="20% - Accent3 4 4 2" xfId="15453"/>
    <cellStyle name="20% - Accent3 4 4 2 2" xfId="15454"/>
    <cellStyle name="20% - Accent3 4 4 2 3" xfId="15455"/>
    <cellStyle name="20% - Accent3 4 4 2 4" xfId="15456"/>
    <cellStyle name="20% - Accent3 4 4 3" xfId="15457"/>
    <cellStyle name="20% - Accent3 4 4 4" xfId="15458"/>
    <cellStyle name="20% - Accent3 4 4 5" xfId="15459"/>
    <cellStyle name="20% - Accent3 4 5" xfId="131"/>
    <cellStyle name="20% - Accent3 4 5 2" xfId="15460"/>
    <cellStyle name="20% - Accent3 4 5 2 2" xfId="15461"/>
    <cellStyle name="20% - Accent3 4 5 2 3" xfId="15462"/>
    <cellStyle name="20% - Accent3 4 5 2 4" xfId="15463"/>
    <cellStyle name="20% - Accent3 4 5 3" xfId="15464"/>
    <cellStyle name="20% - Accent3 4 5 4" xfId="15465"/>
    <cellStyle name="20% - Accent3 4 5 5" xfId="15466"/>
    <cellStyle name="20% - Accent3 4 6" xfId="15467"/>
    <cellStyle name="20% - Accent3 4 6 2" xfId="15468"/>
    <cellStyle name="20% - Accent3 4 6 3" xfId="15469"/>
    <cellStyle name="20% - Accent3 4 6 4" xfId="15470"/>
    <cellStyle name="20% - Accent3 4 7" xfId="15471"/>
    <cellStyle name="20% - Accent3 4 8" xfId="15472"/>
    <cellStyle name="20% - Accent3 4 9" xfId="15473"/>
    <cellStyle name="20% - Accent3 5" xfId="132"/>
    <cellStyle name="20% - Accent3 5 10" xfId="15474"/>
    <cellStyle name="20% - Accent3 5 2" xfId="133"/>
    <cellStyle name="20% - Accent3 5 2 2" xfId="134"/>
    <cellStyle name="20% - Accent3 5 2 2 2" xfId="15475"/>
    <cellStyle name="20% - Accent3 5 2 2 2 2" xfId="15476"/>
    <cellStyle name="20% - Accent3 5 2 2 2 3" xfId="15477"/>
    <cellStyle name="20% - Accent3 5 2 2 2 4" xfId="15478"/>
    <cellStyle name="20% - Accent3 5 2 2 3" xfId="15479"/>
    <cellStyle name="20% - Accent3 5 2 2 4" xfId="15480"/>
    <cellStyle name="20% - Accent3 5 2 2 5" xfId="15481"/>
    <cellStyle name="20% - Accent3 5 2 3" xfId="135"/>
    <cellStyle name="20% - Accent3 5 2 3 2" xfId="15482"/>
    <cellStyle name="20% - Accent3 5 2 3 2 2" xfId="15483"/>
    <cellStyle name="20% - Accent3 5 2 3 2 3" xfId="15484"/>
    <cellStyle name="20% - Accent3 5 2 3 2 4" xfId="15485"/>
    <cellStyle name="20% - Accent3 5 2 3 3" xfId="15486"/>
    <cellStyle name="20% - Accent3 5 2 3 4" xfId="15487"/>
    <cellStyle name="20% - Accent3 5 2 3 5" xfId="15488"/>
    <cellStyle name="20% - Accent3 5 2 4" xfId="15489"/>
    <cellStyle name="20% - Accent3 5 2 4 2" xfId="15490"/>
    <cellStyle name="20% - Accent3 5 2 4 3" xfId="15491"/>
    <cellStyle name="20% - Accent3 5 2 4 4" xfId="15492"/>
    <cellStyle name="20% - Accent3 5 2 5" xfId="15493"/>
    <cellStyle name="20% - Accent3 5 2 6" xfId="15494"/>
    <cellStyle name="20% - Accent3 5 2 7" xfId="15495"/>
    <cellStyle name="20% - Accent3 5 3" xfId="136"/>
    <cellStyle name="20% - Accent3 5 3 2" xfId="15496"/>
    <cellStyle name="20% - Accent3 5 3 2 2" xfId="15497"/>
    <cellStyle name="20% - Accent3 5 3 2 3" xfId="15498"/>
    <cellStyle name="20% - Accent3 5 3 2 4" xfId="15499"/>
    <cellStyle name="20% - Accent3 5 3 3" xfId="15500"/>
    <cellStyle name="20% - Accent3 5 3 4" xfId="15501"/>
    <cellStyle name="20% - Accent3 5 3 5" xfId="15502"/>
    <cellStyle name="20% - Accent3 5 4" xfId="137"/>
    <cellStyle name="20% - Accent3 5 4 2" xfId="15503"/>
    <cellStyle name="20% - Accent3 5 4 2 2" xfId="15504"/>
    <cellStyle name="20% - Accent3 5 4 2 3" xfId="15505"/>
    <cellStyle name="20% - Accent3 5 4 2 4" xfId="15506"/>
    <cellStyle name="20% - Accent3 5 4 3" xfId="15507"/>
    <cellStyle name="20% - Accent3 5 4 4" xfId="15508"/>
    <cellStyle name="20% - Accent3 5 4 5" xfId="15509"/>
    <cellStyle name="20% - Accent3 5 5" xfId="15510"/>
    <cellStyle name="20% - Accent3 5 5 2" xfId="15511"/>
    <cellStyle name="20% - Accent3 5 5 3" xfId="15512"/>
    <cellStyle name="20% - Accent3 5 5 4" xfId="15513"/>
    <cellStyle name="20% - Accent3 5 6" xfId="15514"/>
    <cellStyle name="20% - Accent3 5 7" xfId="15515"/>
    <cellStyle name="20% - Accent3 5 8" xfId="15516"/>
    <cellStyle name="20% - Accent3 5 9" xfId="15517"/>
    <cellStyle name="20% - Accent3 6" xfId="138"/>
    <cellStyle name="20% - Accent3 6 2" xfId="139"/>
    <cellStyle name="20% - Accent3 6 2 2" xfId="15518"/>
    <cellStyle name="20% - Accent3 6 2 2 2" xfId="15519"/>
    <cellStyle name="20% - Accent3 6 2 2 3" xfId="15520"/>
    <cellStyle name="20% - Accent3 6 2 2 4" xfId="15521"/>
    <cellStyle name="20% - Accent3 6 2 3" xfId="15522"/>
    <cellStyle name="20% - Accent3 6 2 4" xfId="15523"/>
    <cellStyle name="20% - Accent3 6 2 5" xfId="15524"/>
    <cellStyle name="20% - Accent3 6 3" xfId="140"/>
    <cellStyle name="20% - Accent3 6 3 2" xfId="15525"/>
    <cellStyle name="20% - Accent3 6 3 2 2" xfId="15526"/>
    <cellStyle name="20% - Accent3 6 3 2 3" xfId="15527"/>
    <cellStyle name="20% - Accent3 6 3 2 4" xfId="15528"/>
    <cellStyle name="20% - Accent3 6 3 3" xfId="15529"/>
    <cellStyle name="20% - Accent3 6 3 4" xfId="15530"/>
    <cellStyle name="20% - Accent3 6 3 5" xfId="15531"/>
    <cellStyle name="20% - Accent3 6 4" xfId="15532"/>
    <cellStyle name="20% - Accent3 6 4 2" xfId="15533"/>
    <cellStyle name="20% - Accent3 6 4 3" xfId="15534"/>
    <cellStyle name="20% - Accent3 6 4 4" xfId="15535"/>
    <cellStyle name="20% - Accent3 6 5" xfId="15536"/>
    <cellStyle name="20% - Accent3 6 6" xfId="15537"/>
    <cellStyle name="20% - Accent3 6 7" xfId="15538"/>
    <cellStyle name="20% - Accent3 6 8" xfId="15539"/>
    <cellStyle name="20% - Accent3 6 9" xfId="15540"/>
    <cellStyle name="20% - Accent3 7" xfId="141"/>
    <cellStyle name="20% - Accent3 7 2" xfId="15541"/>
    <cellStyle name="20% - Accent3 7 2 2" xfId="15542"/>
    <cellStyle name="20% - Accent3 7 2 3" xfId="15543"/>
    <cellStyle name="20% - Accent3 7 2 4" xfId="15544"/>
    <cellStyle name="20% - Accent3 7 3" xfId="15545"/>
    <cellStyle name="20% - Accent3 7 4" xfId="15546"/>
    <cellStyle name="20% - Accent3 7 5" xfId="15547"/>
    <cellStyle name="20% - Accent3 7 6" xfId="15548"/>
    <cellStyle name="20% - Accent3 7 7" xfId="15549"/>
    <cellStyle name="20% - Accent3 7 8" xfId="15550"/>
    <cellStyle name="20% - Accent3 8" xfId="142"/>
    <cellStyle name="20% - Accent3 8 2" xfId="15551"/>
    <cellStyle name="20% - Accent3 8 2 2" xfId="15552"/>
    <cellStyle name="20% - Accent3 8 2 3" xfId="15553"/>
    <cellStyle name="20% - Accent3 8 2 4" xfId="15554"/>
    <cellStyle name="20% - Accent3 8 3" xfId="15555"/>
    <cellStyle name="20% - Accent3 8 4" xfId="15556"/>
    <cellStyle name="20% - Accent3 8 5" xfId="15557"/>
    <cellStyle name="20% - Accent3 8 6" xfId="15558"/>
    <cellStyle name="20% - Accent3 8 7" xfId="15559"/>
    <cellStyle name="20% - Accent3 8 8" xfId="15560"/>
    <cellStyle name="20% - Accent3 9" xfId="15561"/>
    <cellStyle name="20% - Accent3 9 2" xfId="15562"/>
    <cellStyle name="20% - Accent3 9 3" xfId="15563"/>
    <cellStyle name="20% - Accent3 9 4" xfId="15564"/>
    <cellStyle name="20% - Accent3 9 5" xfId="15565"/>
    <cellStyle name="20% - Accent3 9 6" xfId="15566"/>
    <cellStyle name="20% - Accent4 10" xfId="15567"/>
    <cellStyle name="20% - Accent4 10 2" xfId="15568"/>
    <cellStyle name="20% - Accent4 10 3" xfId="15569"/>
    <cellStyle name="20% - Accent4 10 4" xfId="15570"/>
    <cellStyle name="20% - Accent4 10 5" xfId="15571"/>
    <cellStyle name="20% - Accent4 11" xfId="15572"/>
    <cellStyle name="20% - Accent4 11 2" xfId="15573"/>
    <cellStyle name="20% - Accent4 11 3" xfId="15574"/>
    <cellStyle name="20% - Accent4 12" xfId="15575"/>
    <cellStyle name="20% - Accent4 13" xfId="15576"/>
    <cellStyle name="20% - Accent4 13 2" xfId="15577"/>
    <cellStyle name="20% - Accent4 13 3" xfId="15578"/>
    <cellStyle name="20% - Accent4 14" xfId="15579"/>
    <cellStyle name="20% - Accent4 15" xfId="40114"/>
    <cellStyle name="20% - Accent4 16" xfId="40115"/>
    <cellStyle name="20% - Accent4 17" xfId="40116"/>
    <cellStyle name="20% - Accent4 2" xfId="143"/>
    <cellStyle name="20% - Accent4 2 10" xfId="15580"/>
    <cellStyle name="20% - Accent4 2 11" xfId="15581"/>
    <cellStyle name="20% - Accent4 2 12" xfId="15582"/>
    <cellStyle name="20% - Accent4 2 2" xfId="144"/>
    <cellStyle name="20% - Accent4 2 2 2" xfId="145"/>
    <cellStyle name="20% - Accent4 2 2 2 2" xfId="146"/>
    <cellStyle name="20% - Accent4 2 2 2 2 2" xfId="15583"/>
    <cellStyle name="20% - Accent4 2 2 2 2 2 2" xfId="15584"/>
    <cellStyle name="20% - Accent4 2 2 2 2 2 3" xfId="15585"/>
    <cellStyle name="20% - Accent4 2 2 2 2 2 4" xfId="15586"/>
    <cellStyle name="20% - Accent4 2 2 2 2 3" xfId="15587"/>
    <cellStyle name="20% - Accent4 2 2 2 2 4" xfId="15588"/>
    <cellStyle name="20% - Accent4 2 2 2 2 5" xfId="15589"/>
    <cellStyle name="20% - Accent4 2 2 2 3" xfId="147"/>
    <cellStyle name="20% - Accent4 2 2 2 3 2" xfId="15590"/>
    <cellStyle name="20% - Accent4 2 2 2 3 2 2" xfId="15591"/>
    <cellStyle name="20% - Accent4 2 2 2 3 2 3" xfId="15592"/>
    <cellStyle name="20% - Accent4 2 2 2 3 2 4" xfId="15593"/>
    <cellStyle name="20% - Accent4 2 2 2 3 3" xfId="15594"/>
    <cellStyle name="20% - Accent4 2 2 2 3 4" xfId="15595"/>
    <cellStyle name="20% - Accent4 2 2 2 3 5" xfId="15596"/>
    <cellStyle name="20% - Accent4 2 2 2 4" xfId="15597"/>
    <cellStyle name="20% - Accent4 2 2 2 4 2" xfId="15598"/>
    <cellStyle name="20% - Accent4 2 2 2 4 3" xfId="15599"/>
    <cellStyle name="20% - Accent4 2 2 2 4 4" xfId="15600"/>
    <cellStyle name="20% - Accent4 2 2 2 5" xfId="15601"/>
    <cellStyle name="20% - Accent4 2 2 2 6" xfId="15602"/>
    <cellStyle name="20% - Accent4 2 2 2 7" xfId="15603"/>
    <cellStyle name="20% - Accent4 2 2 3" xfId="148"/>
    <cellStyle name="20% - Accent4 2 2 3 2" xfId="15604"/>
    <cellStyle name="20% - Accent4 2 2 3 2 2" xfId="15605"/>
    <cellStyle name="20% - Accent4 2 2 3 2 3" xfId="15606"/>
    <cellStyle name="20% - Accent4 2 2 3 2 4" xfId="15607"/>
    <cellStyle name="20% - Accent4 2 2 3 3" xfId="15608"/>
    <cellStyle name="20% - Accent4 2 2 3 4" xfId="15609"/>
    <cellStyle name="20% - Accent4 2 2 3 5" xfId="15610"/>
    <cellStyle name="20% - Accent4 2 2 4" xfId="149"/>
    <cellStyle name="20% - Accent4 2 2 4 2" xfId="15611"/>
    <cellStyle name="20% - Accent4 2 2 4 2 2" xfId="15612"/>
    <cellStyle name="20% - Accent4 2 2 4 2 3" xfId="15613"/>
    <cellStyle name="20% - Accent4 2 2 4 2 4" xfId="15614"/>
    <cellStyle name="20% - Accent4 2 2 4 3" xfId="15615"/>
    <cellStyle name="20% - Accent4 2 2 4 4" xfId="15616"/>
    <cellStyle name="20% - Accent4 2 2 4 5" xfId="15617"/>
    <cellStyle name="20% - Accent4 2 2 5" xfId="15618"/>
    <cellStyle name="20% - Accent4 2 2 5 2" xfId="15619"/>
    <cellStyle name="20% - Accent4 2 2 5 3" xfId="15620"/>
    <cellStyle name="20% - Accent4 2 2 5 4" xfId="15621"/>
    <cellStyle name="20% - Accent4 2 2 6" xfId="15622"/>
    <cellStyle name="20% - Accent4 2 2 7" xfId="15623"/>
    <cellStyle name="20% - Accent4 2 2 8" xfId="15624"/>
    <cellStyle name="20% - Accent4 2 2 9" xfId="15625"/>
    <cellStyle name="20% - Accent4 2 3" xfId="150"/>
    <cellStyle name="20% - Accent4 2 3 2" xfId="151"/>
    <cellStyle name="20% - Accent4 2 3 2 2" xfId="15626"/>
    <cellStyle name="20% - Accent4 2 3 2 2 2" xfId="15627"/>
    <cellStyle name="20% - Accent4 2 3 2 2 3" xfId="15628"/>
    <cellStyle name="20% - Accent4 2 3 2 2 4" xfId="15629"/>
    <cellStyle name="20% - Accent4 2 3 2 3" xfId="15630"/>
    <cellStyle name="20% - Accent4 2 3 2 4" xfId="15631"/>
    <cellStyle name="20% - Accent4 2 3 2 5" xfId="15632"/>
    <cellStyle name="20% - Accent4 2 3 3" xfId="152"/>
    <cellStyle name="20% - Accent4 2 3 3 2" xfId="15633"/>
    <cellStyle name="20% - Accent4 2 3 3 2 2" xfId="15634"/>
    <cellStyle name="20% - Accent4 2 3 3 2 3" xfId="15635"/>
    <cellStyle name="20% - Accent4 2 3 3 2 4" xfId="15636"/>
    <cellStyle name="20% - Accent4 2 3 3 3" xfId="15637"/>
    <cellStyle name="20% - Accent4 2 3 3 4" xfId="15638"/>
    <cellStyle name="20% - Accent4 2 3 3 5" xfId="15639"/>
    <cellStyle name="20% - Accent4 2 3 4" xfId="15640"/>
    <cellStyle name="20% - Accent4 2 3 4 2" xfId="15641"/>
    <cellStyle name="20% - Accent4 2 3 4 3" xfId="15642"/>
    <cellStyle name="20% - Accent4 2 3 4 4" xfId="15643"/>
    <cellStyle name="20% - Accent4 2 3 5" xfId="15644"/>
    <cellStyle name="20% - Accent4 2 3 6" xfId="15645"/>
    <cellStyle name="20% - Accent4 2 3 7" xfId="15646"/>
    <cellStyle name="20% - Accent4 2 3 8" xfId="15647"/>
    <cellStyle name="20% - Accent4 2 4" xfId="153"/>
    <cellStyle name="20% - Accent4 2 4 2" xfId="15648"/>
    <cellStyle name="20% - Accent4 2 4 2 2" xfId="15649"/>
    <cellStyle name="20% - Accent4 2 4 2 3" xfId="15650"/>
    <cellStyle name="20% - Accent4 2 4 2 4" xfId="15651"/>
    <cellStyle name="20% - Accent4 2 4 3" xfId="15652"/>
    <cellStyle name="20% - Accent4 2 4 4" xfId="15653"/>
    <cellStyle name="20% - Accent4 2 4 5" xfId="15654"/>
    <cellStyle name="20% - Accent4 2 4 6" xfId="15655"/>
    <cellStyle name="20% - Accent4 2 5" xfId="154"/>
    <cellStyle name="20% - Accent4 2 5 2" xfId="15656"/>
    <cellStyle name="20% - Accent4 2 5 2 2" xfId="15657"/>
    <cellStyle name="20% - Accent4 2 5 2 3" xfId="15658"/>
    <cellStyle name="20% - Accent4 2 5 2 4" xfId="15659"/>
    <cellStyle name="20% - Accent4 2 5 3" xfId="15660"/>
    <cellStyle name="20% - Accent4 2 5 4" xfId="15661"/>
    <cellStyle name="20% - Accent4 2 5 5" xfId="15662"/>
    <cellStyle name="20% - Accent4 2 5 6" xfId="15663"/>
    <cellStyle name="20% - Accent4 2 6" xfId="15664"/>
    <cellStyle name="20% - Accent4 2 6 2" xfId="15665"/>
    <cellStyle name="20% - Accent4 2 6 3" xfId="15666"/>
    <cellStyle name="20% - Accent4 2 6 4" xfId="15667"/>
    <cellStyle name="20% - Accent4 2 7" xfId="15668"/>
    <cellStyle name="20% - Accent4 2 8" xfId="15669"/>
    <cellStyle name="20% - Accent4 2 9" xfId="15670"/>
    <cellStyle name="20% - Accent4 3" xfId="155"/>
    <cellStyle name="20% - Accent4 3 10" xfId="15671"/>
    <cellStyle name="20% - Accent4 3 11" xfId="15672"/>
    <cellStyle name="20% - Accent4 3 2" xfId="156"/>
    <cellStyle name="20% - Accent4 3 2 2" xfId="157"/>
    <cellStyle name="20% - Accent4 3 2 2 2" xfId="158"/>
    <cellStyle name="20% - Accent4 3 2 2 2 2" xfId="15673"/>
    <cellStyle name="20% - Accent4 3 2 2 2 2 2" xfId="15674"/>
    <cellStyle name="20% - Accent4 3 2 2 2 2 3" xfId="15675"/>
    <cellStyle name="20% - Accent4 3 2 2 2 2 4" xfId="15676"/>
    <cellStyle name="20% - Accent4 3 2 2 2 3" xfId="15677"/>
    <cellStyle name="20% - Accent4 3 2 2 2 4" xfId="15678"/>
    <cellStyle name="20% - Accent4 3 2 2 2 5" xfId="15679"/>
    <cellStyle name="20% - Accent4 3 2 2 3" xfId="159"/>
    <cellStyle name="20% - Accent4 3 2 2 3 2" xfId="15680"/>
    <cellStyle name="20% - Accent4 3 2 2 3 2 2" xfId="15681"/>
    <cellStyle name="20% - Accent4 3 2 2 3 2 3" xfId="15682"/>
    <cellStyle name="20% - Accent4 3 2 2 3 2 4" xfId="15683"/>
    <cellStyle name="20% - Accent4 3 2 2 3 3" xfId="15684"/>
    <cellStyle name="20% - Accent4 3 2 2 3 4" xfId="15685"/>
    <cellStyle name="20% - Accent4 3 2 2 3 5" xfId="15686"/>
    <cellStyle name="20% - Accent4 3 2 2 4" xfId="15687"/>
    <cellStyle name="20% - Accent4 3 2 2 4 2" xfId="15688"/>
    <cellStyle name="20% - Accent4 3 2 2 4 3" xfId="15689"/>
    <cellStyle name="20% - Accent4 3 2 2 4 4" xfId="15690"/>
    <cellStyle name="20% - Accent4 3 2 2 5" xfId="15691"/>
    <cellStyle name="20% - Accent4 3 2 2 6" xfId="15692"/>
    <cellStyle name="20% - Accent4 3 2 2 7" xfId="15693"/>
    <cellStyle name="20% - Accent4 3 2 3" xfId="160"/>
    <cellStyle name="20% - Accent4 3 2 3 2" xfId="15694"/>
    <cellStyle name="20% - Accent4 3 2 3 2 2" xfId="15695"/>
    <cellStyle name="20% - Accent4 3 2 3 2 3" xfId="15696"/>
    <cellStyle name="20% - Accent4 3 2 3 2 4" xfId="15697"/>
    <cellStyle name="20% - Accent4 3 2 3 3" xfId="15698"/>
    <cellStyle name="20% - Accent4 3 2 3 4" xfId="15699"/>
    <cellStyle name="20% - Accent4 3 2 3 5" xfId="15700"/>
    <cellStyle name="20% - Accent4 3 2 4" xfId="161"/>
    <cellStyle name="20% - Accent4 3 2 4 2" xfId="15701"/>
    <cellStyle name="20% - Accent4 3 2 4 2 2" xfId="15702"/>
    <cellStyle name="20% - Accent4 3 2 4 2 3" xfId="15703"/>
    <cellStyle name="20% - Accent4 3 2 4 2 4" xfId="15704"/>
    <cellStyle name="20% - Accent4 3 2 4 3" xfId="15705"/>
    <cellStyle name="20% - Accent4 3 2 4 4" xfId="15706"/>
    <cellStyle name="20% - Accent4 3 2 4 5" xfId="15707"/>
    <cellStyle name="20% - Accent4 3 2 5" xfId="15708"/>
    <cellStyle name="20% - Accent4 3 2 5 2" xfId="15709"/>
    <cellStyle name="20% - Accent4 3 2 5 3" xfId="15710"/>
    <cellStyle name="20% - Accent4 3 2 5 4" xfId="15711"/>
    <cellStyle name="20% - Accent4 3 2 6" xfId="15712"/>
    <cellStyle name="20% - Accent4 3 2 7" xfId="15713"/>
    <cellStyle name="20% - Accent4 3 2 8" xfId="15714"/>
    <cellStyle name="20% - Accent4 3 3" xfId="162"/>
    <cellStyle name="20% - Accent4 3 3 2" xfId="163"/>
    <cellStyle name="20% - Accent4 3 3 2 2" xfId="15715"/>
    <cellStyle name="20% - Accent4 3 3 2 2 2" xfId="15716"/>
    <cellStyle name="20% - Accent4 3 3 2 2 3" xfId="15717"/>
    <cellStyle name="20% - Accent4 3 3 2 2 4" xfId="15718"/>
    <cellStyle name="20% - Accent4 3 3 2 3" xfId="15719"/>
    <cellStyle name="20% - Accent4 3 3 2 4" xfId="15720"/>
    <cellStyle name="20% - Accent4 3 3 2 5" xfId="15721"/>
    <cellStyle name="20% - Accent4 3 3 3" xfId="164"/>
    <cellStyle name="20% - Accent4 3 3 3 2" xfId="15722"/>
    <cellStyle name="20% - Accent4 3 3 3 2 2" xfId="15723"/>
    <cellStyle name="20% - Accent4 3 3 3 2 3" xfId="15724"/>
    <cellStyle name="20% - Accent4 3 3 3 2 4" xfId="15725"/>
    <cellStyle name="20% - Accent4 3 3 3 3" xfId="15726"/>
    <cellStyle name="20% - Accent4 3 3 3 4" xfId="15727"/>
    <cellStyle name="20% - Accent4 3 3 3 5" xfId="15728"/>
    <cellStyle name="20% - Accent4 3 3 4" xfId="15729"/>
    <cellStyle name="20% - Accent4 3 3 4 2" xfId="15730"/>
    <cellStyle name="20% - Accent4 3 3 4 3" xfId="15731"/>
    <cellStyle name="20% - Accent4 3 3 4 4" xfId="15732"/>
    <cellStyle name="20% - Accent4 3 3 5" xfId="15733"/>
    <cellStyle name="20% - Accent4 3 3 6" xfId="15734"/>
    <cellStyle name="20% - Accent4 3 3 7" xfId="15735"/>
    <cellStyle name="20% - Accent4 3 4" xfId="165"/>
    <cellStyle name="20% - Accent4 3 4 2" xfId="15736"/>
    <cellStyle name="20% - Accent4 3 4 2 2" xfId="15737"/>
    <cellStyle name="20% - Accent4 3 4 2 3" xfId="15738"/>
    <cellStyle name="20% - Accent4 3 4 2 4" xfId="15739"/>
    <cellStyle name="20% - Accent4 3 4 3" xfId="15740"/>
    <cellStyle name="20% - Accent4 3 4 4" xfId="15741"/>
    <cellStyle name="20% - Accent4 3 4 5" xfId="15742"/>
    <cellStyle name="20% - Accent4 3 5" xfId="166"/>
    <cellStyle name="20% - Accent4 3 5 2" xfId="15743"/>
    <cellStyle name="20% - Accent4 3 5 2 2" xfId="15744"/>
    <cellStyle name="20% - Accent4 3 5 2 3" xfId="15745"/>
    <cellStyle name="20% - Accent4 3 5 2 4" xfId="15746"/>
    <cellStyle name="20% - Accent4 3 5 3" xfId="15747"/>
    <cellStyle name="20% - Accent4 3 5 4" xfId="15748"/>
    <cellStyle name="20% - Accent4 3 5 5" xfId="15749"/>
    <cellStyle name="20% - Accent4 3 6" xfId="15750"/>
    <cellStyle name="20% - Accent4 3 6 2" xfId="15751"/>
    <cellStyle name="20% - Accent4 3 6 3" xfId="15752"/>
    <cellStyle name="20% - Accent4 3 6 4" xfId="15753"/>
    <cellStyle name="20% - Accent4 3 7" xfId="15754"/>
    <cellStyle name="20% - Accent4 3 8" xfId="15755"/>
    <cellStyle name="20% - Accent4 3 9" xfId="15756"/>
    <cellStyle name="20% - Accent4 4" xfId="167"/>
    <cellStyle name="20% - Accent4 4 10" xfId="15757"/>
    <cellStyle name="20% - Accent4 4 11" xfId="15758"/>
    <cellStyle name="20% - Accent4 4 2" xfId="168"/>
    <cellStyle name="20% - Accent4 4 2 2" xfId="169"/>
    <cellStyle name="20% - Accent4 4 2 2 2" xfId="170"/>
    <cellStyle name="20% - Accent4 4 2 2 2 2" xfId="15759"/>
    <cellStyle name="20% - Accent4 4 2 2 2 2 2" xfId="15760"/>
    <cellStyle name="20% - Accent4 4 2 2 2 2 3" xfId="15761"/>
    <cellStyle name="20% - Accent4 4 2 2 2 2 4" xfId="15762"/>
    <cellStyle name="20% - Accent4 4 2 2 2 3" xfId="15763"/>
    <cellStyle name="20% - Accent4 4 2 2 2 4" xfId="15764"/>
    <cellStyle name="20% - Accent4 4 2 2 2 5" xfId="15765"/>
    <cellStyle name="20% - Accent4 4 2 2 3" xfId="171"/>
    <cellStyle name="20% - Accent4 4 2 2 3 2" xfId="15766"/>
    <cellStyle name="20% - Accent4 4 2 2 3 2 2" xfId="15767"/>
    <cellStyle name="20% - Accent4 4 2 2 3 2 3" xfId="15768"/>
    <cellStyle name="20% - Accent4 4 2 2 3 2 4" xfId="15769"/>
    <cellStyle name="20% - Accent4 4 2 2 3 3" xfId="15770"/>
    <cellStyle name="20% - Accent4 4 2 2 3 4" xfId="15771"/>
    <cellStyle name="20% - Accent4 4 2 2 3 5" xfId="15772"/>
    <cellStyle name="20% - Accent4 4 2 2 4" xfId="15773"/>
    <cellStyle name="20% - Accent4 4 2 2 4 2" xfId="15774"/>
    <cellStyle name="20% - Accent4 4 2 2 4 3" xfId="15775"/>
    <cellStyle name="20% - Accent4 4 2 2 4 4" xfId="15776"/>
    <cellStyle name="20% - Accent4 4 2 2 5" xfId="15777"/>
    <cellStyle name="20% - Accent4 4 2 2 6" xfId="15778"/>
    <cellStyle name="20% - Accent4 4 2 2 7" xfId="15779"/>
    <cellStyle name="20% - Accent4 4 2 3" xfId="172"/>
    <cellStyle name="20% - Accent4 4 2 3 2" xfId="15780"/>
    <cellStyle name="20% - Accent4 4 2 3 2 2" xfId="15781"/>
    <cellStyle name="20% - Accent4 4 2 3 2 3" xfId="15782"/>
    <cellStyle name="20% - Accent4 4 2 3 2 4" xfId="15783"/>
    <cellStyle name="20% - Accent4 4 2 3 3" xfId="15784"/>
    <cellStyle name="20% - Accent4 4 2 3 4" xfId="15785"/>
    <cellStyle name="20% - Accent4 4 2 3 5" xfId="15786"/>
    <cellStyle name="20% - Accent4 4 2 4" xfId="173"/>
    <cellStyle name="20% - Accent4 4 2 4 2" xfId="15787"/>
    <cellStyle name="20% - Accent4 4 2 4 2 2" xfId="15788"/>
    <cellStyle name="20% - Accent4 4 2 4 2 3" xfId="15789"/>
    <cellStyle name="20% - Accent4 4 2 4 2 4" xfId="15790"/>
    <cellStyle name="20% - Accent4 4 2 4 3" xfId="15791"/>
    <cellStyle name="20% - Accent4 4 2 4 4" xfId="15792"/>
    <cellStyle name="20% - Accent4 4 2 4 5" xfId="15793"/>
    <cellStyle name="20% - Accent4 4 2 5" xfId="15794"/>
    <cellStyle name="20% - Accent4 4 2 5 2" xfId="15795"/>
    <cellStyle name="20% - Accent4 4 2 5 3" xfId="15796"/>
    <cellStyle name="20% - Accent4 4 2 5 4" xfId="15797"/>
    <cellStyle name="20% - Accent4 4 2 6" xfId="15798"/>
    <cellStyle name="20% - Accent4 4 2 7" xfId="15799"/>
    <cellStyle name="20% - Accent4 4 2 8" xfId="15800"/>
    <cellStyle name="20% - Accent4 4 3" xfId="174"/>
    <cellStyle name="20% - Accent4 4 3 2" xfId="175"/>
    <cellStyle name="20% - Accent4 4 3 2 2" xfId="15801"/>
    <cellStyle name="20% - Accent4 4 3 2 2 2" xfId="15802"/>
    <cellStyle name="20% - Accent4 4 3 2 2 3" xfId="15803"/>
    <cellStyle name="20% - Accent4 4 3 2 2 4" xfId="15804"/>
    <cellStyle name="20% - Accent4 4 3 2 3" xfId="15805"/>
    <cellStyle name="20% - Accent4 4 3 2 4" xfId="15806"/>
    <cellStyle name="20% - Accent4 4 3 2 5" xfId="15807"/>
    <cellStyle name="20% - Accent4 4 3 3" xfId="176"/>
    <cellStyle name="20% - Accent4 4 3 3 2" xfId="15808"/>
    <cellStyle name="20% - Accent4 4 3 3 2 2" xfId="15809"/>
    <cellStyle name="20% - Accent4 4 3 3 2 3" xfId="15810"/>
    <cellStyle name="20% - Accent4 4 3 3 2 4" xfId="15811"/>
    <cellStyle name="20% - Accent4 4 3 3 3" xfId="15812"/>
    <cellStyle name="20% - Accent4 4 3 3 4" xfId="15813"/>
    <cellStyle name="20% - Accent4 4 3 3 5" xfId="15814"/>
    <cellStyle name="20% - Accent4 4 3 4" xfId="15815"/>
    <cellStyle name="20% - Accent4 4 3 4 2" xfId="15816"/>
    <cellStyle name="20% - Accent4 4 3 4 3" xfId="15817"/>
    <cellStyle name="20% - Accent4 4 3 4 4" xfId="15818"/>
    <cellStyle name="20% - Accent4 4 3 5" xfId="15819"/>
    <cellStyle name="20% - Accent4 4 3 6" xfId="15820"/>
    <cellStyle name="20% - Accent4 4 3 7" xfId="15821"/>
    <cellStyle name="20% - Accent4 4 4" xfId="177"/>
    <cellStyle name="20% - Accent4 4 4 2" xfId="15822"/>
    <cellStyle name="20% - Accent4 4 4 2 2" xfId="15823"/>
    <cellStyle name="20% - Accent4 4 4 2 3" xfId="15824"/>
    <cellStyle name="20% - Accent4 4 4 2 4" xfId="15825"/>
    <cellStyle name="20% - Accent4 4 4 3" xfId="15826"/>
    <cellStyle name="20% - Accent4 4 4 4" xfId="15827"/>
    <cellStyle name="20% - Accent4 4 4 5" xfId="15828"/>
    <cellStyle name="20% - Accent4 4 5" xfId="178"/>
    <cellStyle name="20% - Accent4 4 5 2" xfId="15829"/>
    <cellStyle name="20% - Accent4 4 5 2 2" xfId="15830"/>
    <cellStyle name="20% - Accent4 4 5 2 3" xfId="15831"/>
    <cellStyle name="20% - Accent4 4 5 2 4" xfId="15832"/>
    <cellStyle name="20% - Accent4 4 5 3" xfId="15833"/>
    <cellStyle name="20% - Accent4 4 5 4" xfId="15834"/>
    <cellStyle name="20% - Accent4 4 5 5" xfId="15835"/>
    <cellStyle name="20% - Accent4 4 6" xfId="15836"/>
    <cellStyle name="20% - Accent4 4 6 2" xfId="15837"/>
    <cellStyle name="20% - Accent4 4 6 3" xfId="15838"/>
    <cellStyle name="20% - Accent4 4 6 4" xfId="15839"/>
    <cellStyle name="20% - Accent4 4 7" xfId="15840"/>
    <cellStyle name="20% - Accent4 4 8" xfId="15841"/>
    <cellStyle name="20% - Accent4 4 9" xfId="15842"/>
    <cellStyle name="20% - Accent4 5" xfId="179"/>
    <cellStyle name="20% - Accent4 5 10" xfId="15843"/>
    <cellStyle name="20% - Accent4 5 2" xfId="180"/>
    <cellStyle name="20% - Accent4 5 2 2" xfId="181"/>
    <cellStyle name="20% - Accent4 5 2 2 2" xfId="15844"/>
    <cellStyle name="20% - Accent4 5 2 2 2 2" xfId="15845"/>
    <cellStyle name="20% - Accent4 5 2 2 2 3" xfId="15846"/>
    <cellStyle name="20% - Accent4 5 2 2 2 4" xfId="15847"/>
    <cellStyle name="20% - Accent4 5 2 2 3" xfId="15848"/>
    <cellStyle name="20% - Accent4 5 2 2 4" xfId="15849"/>
    <cellStyle name="20% - Accent4 5 2 2 5" xfId="15850"/>
    <cellStyle name="20% - Accent4 5 2 3" xfId="182"/>
    <cellStyle name="20% - Accent4 5 2 3 2" xfId="15851"/>
    <cellStyle name="20% - Accent4 5 2 3 2 2" xfId="15852"/>
    <cellStyle name="20% - Accent4 5 2 3 2 3" xfId="15853"/>
    <cellStyle name="20% - Accent4 5 2 3 2 4" xfId="15854"/>
    <cellStyle name="20% - Accent4 5 2 3 3" xfId="15855"/>
    <cellStyle name="20% - Accent4 5 2 3 4" xfId="15856"/>
    <cellStyle name="20% - Accent4 5 2 3 5" xfId="15857"/>
    <cellStyle name="20% - Accent4 5 2 4" xfId="15858"/>
    <cellStyle name="20% - Accent4 5 2 4 2" xfId="15859"/>
    <cellStyle name="20% - Accent4 5 2 4 3" xfId="15860"/>
    <cellStyle name="20% - Accent4 5 2 4 4" xfId="15861"/>
    <cellStyle name="20% - Accent4 5 2 5" xfId="15862"/>
    <cellStyle name="20% - Accent4 5 2 6" xfId="15863"/>
    <cellStyle name="20% - Accent4 5 2 7" xfId="15864"/>
    <cellStyle name="20% - Accent4 5 3" xfId="183"/>
    <cellStyle name="20% - Accent4 5 3 2" xfId="15865"/>
    <cellStyle name="20% - Accent4 5 3 2 2" xfId="15866"/>
    <cellStyle name="20% - Accent4 5 3 2 3" xfId="15867"/>
    <cellStyle name="20% - Accent4 5 3 2 4" xfId="15868"/>
    <cellStyle name="20% - Accent4 5 3 3" xfId="15869"/>
    <cellStyle name="20% - Accent4 5 3 4" xfId="15870"/>
    <cellStyle name="20% - Accent4 5 3 5" xfId="15871"/>
    <cellStyle name="20% - Accent4 5 4" xfId="184"/>
    <cellStyle name="20% - Accent4 5 4 2" xfId="15872"/>
    <cellStyle name="20% - Accent4 5 4 2 2" xfId="15873"/>
    <cellStyle name="20% - Accent4 5 4 2 3" xfId="15874"/>
    <cellStyle name="20% - Accent4 5 4 2 4" xfId="15875"/>
    <cellStyle name="20% - Accent4 5 4 3" xfId="15876"/>
    <cellStyle name="20% - Accent4 5 4 4" xfId="15877"/>
    <cellStyle name="20% - Accent4 5 4 5" xfId="15878"/>
    <cellStyle name="20% - Accent4 5 5" xfId="15879"/>
    <cellStyle name="20% - Accent4 5 5 2" xfId="15880"/>
    <cellStyle name="20% - Accent4 5 5 3" xfId="15881"/>
    <cellStyle name="20% - Accent4 5 5 4" xfId="15882"/>
    <cellStyle name="20% - Accent4 5 6" xfId="15883"/>
    <cellStyle name="20% - Accent4 5 7" xfId="15884"/>
    <cellStyle name="20% - Accent4 5 8" xfId="15885"/>
    <cellStyle name="20% - Accent4 5 9" xfId="15886"/>
    <cellStyle name="20% - Accent4 6" xfId="185"/>
    <cellStyle name="20% - Accent4 6 2" xfId="186"/>
    <cellStyle name="20% - Accent4 6 2 2" xfId="15887"/>
    <cellStyle name="20% - Accent4 6 2 2 2" xfId="15888"/>
    <cellStyle name="20% - Accent4 6 2 2 3" xfId="15889"/>
    <cellStyle name="20% - Accent4 6 2 2 4" xfId="15890"/>
    <cellStyle name="20% - Accent4 6 2 3" xfId="15891"/>
    <cellStyle name="20% - Accent4 6 2 4" xfId="15892"/>
    <cellStyle name="20% - Accent4 6 2 5" xfId="15893"/>
    <cellStyle name="20% - Accent4 6 3" xfId="187"/>
    <cellStyle name="20% - Accent4 6 3 2" xfId="15894"/>
    <cellStyle name="20% - Accent4 6 3 2 2" xfId="15895"/>
    <cellStyle name="20% - Accent4 6 3 2 3" xfId="15896"/>
    <cellStyle name="20% - Accent4 6 3 2 4" xfId="15897"/>
    <cellStyle name="20% - Accent4 6 3 3" xfId="15898"/>
    <cellStyle name="20% - Accent4 6 3 4" xfId="15899"/>
    <cellStyle name="20% - Accent4 6 3 5" xfId="15900"/>
    <cellStyle name="20% - Accent4 6 4" xfId="15901"/>
    <cellStyle name="20% - Accent4 6 4 2" xfId="15902"/>
    <cellStyle name="20% - Accent4 6 4 3" xfId="15903"/>
    <cellStyle name="20% - Accent4 6 4 4" xfId="15904"/>
    <cellStyle name="20% - Accent4 6 5" xfId="15905"/>
    <cellStyle name="20% - Accent4 6 6" xfId="15906"/>
    <cellStyle name="20% - Accent4 6 7" xfId="15907"/>
    <cellStyle name="20% - Accent4 6 8" xfId="15908"/>
    <cellStyle name="20% - Accent4 6 9" xfId="15909"/>
    <cellStyle name="20% - Accent4 7" xfId="188"/>
    <cellStyle name="20% - Accent4 7 2" xfId="15910"/>
    <cellStyle name="20% - Accent4 7 2 2" xfId="15911"/>
    <cellStyle name="20% - Accent4 7 2 3" xfId="15912"/>
    <cellStyle name="20% - Accent4 7 2 4" xfId="15913"/>
    <cellStyle name="20% - Accent4 7 3" xfId="15914"/>
    <cellStyle name="20% - Accent4 7 4" xfId="15915"/>
    <cellStyle name="20% - Accent4 7 5" xfId="15916"/>
    <cellStyle name="20% - Accent4 7 6" xfId="15917"/>
    <cellStyle name="20% - Accent4 7 7" xfId="15918"/>
    <cellStyle name="20% - Accent4 7 8" xfId="15919"/>
    <cellStyle name="20% - Accent4 8" xfId="189"/>
    <cellStyle name="20% - Accent4 8 2" xfId="15920"/>
    <cellStyle name="20% - Accent4 8 2 2" xfId="15921"/>
    <cellStyle name="20% - Accent4 8 2 3" xfId="15922"/>
    <cellStyle name="20% - Accent4 8 2 4" xfId="15923"/>
    <cellStyle name="20% - Accent4 8 3" xfId="15924"/>
    <cellStyle name="20% - Accent4 8 4" xfId="15925"/>
    <cellStyle name="20% - Accent4 8 5" xfId="15926"/>
    <cellStyle name="20% - Accent4 8 6" xfId="15927"/>
    <cellStyle name="20% - Accent4 8 7" xfId="15928"/>
    <cellStyle name="20% - Accent4 8 8" xfId="15929"/>
    <cellStyle name="20% - Accent4 9" xfId="15930"/>
    <cellStyle name="20% - Accent4 9 2" xfId="15931"/>
    <cellStyle name="20% - Accent4 9 3" xfId="15932"/>
    <cellStyle name="20% - Accent4 9 4" xfId="15933"/>
    <cellStyle name="20% - Accent4 9 5" xfId="15934"/>
    <cellStyle name="20% - Accent4 9 6" xfId="15935"/>
    <cellStyle name="20% - Accent5 10" xfId="15936"/>
    <cellStyle name="20% - Accent5 10 2" xfId="15937"/>
    <cellStyle name="20% - Accent5 10 3" xfId="15938"/>
    <cellStyle name="20% - Accent5 10 4" xfId="15939"/>
    <cellStyle name="20% - Accent5 10 5" xfId="15940"/>
    <cellStyle name="20% - Accent5 11" xfId="15941"/>
    <cellStyle name="20% - Accent5 11 2" xfId="15942"/>
    <cellStyle name="20% - Accent5 11 3" xfId="15943"/>
    <cellStyle name="20% - Accent5 12" xfId="15944"/>
    <cellStyle name="20% - Accent5 13" xfId="15945"/>
    <cellStyle name="20% - Accent5 13 2" xfId="15946"/>
    <cellStyle name="20% - Accent5 13 3" xfId="15947"/>
    <cellStyle name="20% - Accent5 14" xfId="15948"/>
    <cellStyle name="20% - Accent5 15" xfId="40117"/>
    <cellStyle name="20% - Accent5 16" xfId="40118"/>
    <cellStyle name="20% - Accent5 17" xfId="40119"/>
    <cellStyle name="20% - Accent5 2" xfId="190"/>
    <cellStyle name="20% - Accent5 2 10" xfId="15949"/>
    <cellStyle name="20% - Accent5 2 11" xfId="15950"/>
    <cellStyle name="20% - Accent5 2 12" xfId="15951"/>
    <cellStyle name="20% - Accent5 2 2" xfId="191"/>
    <cellStyle name="20% - Accent5 2 2 2" xfId="192"/>
    <cellStyle name="20% - Accent5 2 2 2 2" xfId="193"/>
    <cellStyle name="20% - Accent5 2 2 2 2 2" xfId="15952"/>
    <cellStyle name="20% - Accent5 2 2 2 2 2 2" xfId="15953"/>
    <cellStyle name="20% - Accent5 2 2 2 2 2 3" xfId="15954"/>
    <cellStyle name="20% - Accent5 2 2 2 2 2 4" xfId="15955"/>
    <cellStyle name="20% - Accent5 2 2 2 2 3" xfId="15956"/>
    <cellStyle name="20% - Accent5 2 2 2 2 4" xfId="15957"/>
    <cellStyle name="20% - Accent5 2 2 2 2 5" xfId="15958"/>
    <cellStyle name="20% - Accent5 2 2 2 3" xfId="194"/>
    <cellStyle name="20% - Accent5 2 2 2 3 2" xfId="15959"/>
    <cellStyle name="20% - Accent5 2 2 2 3 2 2" xfId="15960"/>
    <cellStyle name="20% - Accent5 2 2 2 3 2 3" xfId="15961"/>
    <cellStyle name="20% - Accent5 2 2 2 3 2 4" xfId="15962"/>
    <cellStyle name="20% - Accent5 2 2 2 3 3" xfId="15963"/>
    <cellStyle name="20% - Accent5 2 2 2 3 4" xfId="15964"/>
    <cellStyle name="20% - Accent5 2 2 2 3 5" xfId="15965"/>
    <cellStyle name="20% - Accent5 2 2 2 4" xfId="15966"/>
    <cellStyle name="20% - Accent5 2 2 2 4 2" xfId="15967"/>
    <cellStyle name="20% - Accent5 2 2 2 4 3" xfId="15968"/>
    <cellStyle name="20% - Accent5 2 2 2 4 4" xfId="15969"/>
    <cellStyle name="20% - Accent5 2 2 2 5" xfId="15970"/>
    <cellStyle name="20% - Accent5 2 2 2 6" xfId="15971"/>
    <cellStyle name="20% - Accent5 2 2 2 7" xfId="15972"/>
    <cellStyle name="20% - Accent5 2 2 3" xfId="195"/>
    <cellStyle name="20% - Accent5 2 2 3 2" xfId="15973"/>
    <cellStyle name="20% - Accent5 2 2 3 2 2" xfId="15974"/>
    <cellStyle name="20% - Accent5 2 2 3 2 3" xfId="15975"/>
    <cellStyle name="20% - Accent5 2 2 3 2 4" xfId="15976"/>
    <cellStyle name="20% - Accent5 2 2 3 3" xfId="15977"/>
    <cellStyle name="20% - Accent5 2 2 3 4" xfId="15978"/>
    <cellStyle name="20% - Accent5 2 2 3 5" xfId="15979"/>
    <cellStyle name="20% - Accent5 2 2 4" xfId="196"/>
    <cellStyle name="20% - Accent5 2 2 4 2" xfId="15980"/>
    <cellStyle name="20% - Accent5 2 2 4 2 2" xfId="15981"/>
    <cellStyle name="20% - Accent5 2 2 4 2 3" xfId="15982"/>
    <cellStyle name="20% - Accent5 2 2 4 2 4" xfId="15983"/>
    <cellStyle name="20% - Accent5 2 2 4 3" xfId="15984"/>
    <cellStyle name="20% - Accent5 2 2 4 4" xfId="15985"/>
    <cellStyle name="20% - Accent5 2 2 4 5" xfId="15986"/>
    <cellStyle name="20% - Accent5 2 2 5" xfId="15987"/>
    <cellStyle name="20% - Accent5 2 2 5 2" xfId="15988"/>
    <cellStyle name="20% - Accent5 2 2 5 3" xfId="15989"/>
    <cellStyle name="20% - Accent5 2 2 5 4" xfId="15990"/>
    <cellStyle name="20% - Accent5 2 2 6" xfId="15991"/>
    <cellStyle name="20% - Accent5 2 2 7" xfId="15992"/>
    <cellStyle name="20% - Accent5 2 2 8" xfId="15993"/>
    <cellStyle name="20% - Accent5 2 2 9" xfId="15994"/>
    <cellStyle name="20% - Accent5 2 3" xfId="197"/>
    <cellStyle name="20% - Accent5 2 3 2" xfId="198"/>
    <cellStyle name="20% - Accent5 2 3 2 2" xfId="15995"/>
    <cellStyle name="20% - Accent5 2 3 2 2 2" xfId="15996"/>
    <cellStyle name="20% - Accent5 2 3 2 2 3" xfId="15997"/>
    <cellStyle name="20% - Accent5 2 3 2 2 4" xfId="15998"/>
    <cellStyle name="20% - Accent5 2 3 2 3" xfId="15999"/>
    <cellStyle name="20% - Accent5 2 3 2 4" xfId="16000"/>
    <cellStyle name="20% - Accent5 2 3 2 5" xfId="16001"/>
    <cellStyle name="20% - Accent5 2 3 3" xfId="199"/>
    <cellStyle name="20% - Accent5 2 3 3 2" xfId="16002"/>
    <cellStyle name="20% - Accent5 2 3 3 2 2" xfId="16003"/>
    <cellStyle name="20% - Accent5 2 3 3 2 3" xfId="16004"/>
    <cellStyle name="20% - Accent5 2 3 3 2 4" xfId="16005"/>
    <cellStyle name="20% - Accent5 2 3 3 3" xfId="16006"/>
    <cellStyle name="20% - Accent5 2 3 3 4" xfId="16007"/>
    <cellStyle name="20% - Accent5 2 3 3 5" xfId="16008"/>
    <cellStyle name="20% - Accent5 2 3 4" xfId="16009"/>
    <cellStyle name="20% - Accent5 2 3 4 2" xfId="16010"/>
    <cellStyle name="20% - Accent5 2 3 4 3" xfId="16011"/>
    <cellStyle name="20% - Accent5 2 3 4 4" xfId="16012"/>
    <cellStyle name="20% - Accent5 2 3 5" xfId="16013"/>
    <cellStyle name="20% - Accent5 2 3 6" xfId="16014"/>
    <cellStyle name="20% - Accent5 2 3 7" xfId="16015"/>
    <cellStyle name="20% - Accent5 2 3 8" xfId="16016"/>
    <cellStyle name="20% - Accent5 2 4" xfId="200"/>
    <cellStyle name="20% - Accent5 2 4 2" xfId="16017"/>
    <cellStyle name="20% - Accent5 2 4 2 2" xfId="16018"/>
    <cellStyle name="20% - Accent5 2 4 2 3" xfId="16019"/>
    <cellStyle name="20% - Accent5 2 4 2 4" xfId="16020"/>
    <cellStyle name="20% - Accent5 2 4 3" xfId="16021"/>
    <cellStyle name="20% - Accent5 2 4 4" xfId="16022"/>
    <cellStyle name="20% - Accent5 2 4 5" xfId="16023"/>
    <cellStyle name="20% - Accent5 2 4 6" xfId="16024"/>
    <cellStyle name="20% - Accent5 2 5" xfId="201"/>
    <cellStyle name="20% - Accent5 2 5 2" xfId="16025"/>
    <cellStyle name="20% - Accent5 2 5 2 2" xfId="16026"/>
    <cellStyle name="20% - Accent5 2 5 2 3" xfId="16027"/>
    <cellStyle name="20% - Accent5 2 5 2 4" xfId="16028"/>
    <cellStyle name="20% - Accent5 2 5 3" xfId="16029"/>
    <cellStyle name="20% - Accent5 2 5 4" xfId="16030"/>
    <cellStyle name="20% - Accent5 2 5 5" xfId="16031"/>
    <cellStyle name="20% - Accent5 2 5 6" xfId="16032"/>
    <cellStyle name="20% - Accent5 2 6" xfId="16033"/>
    <cellStyle name="20% - Accent5 2 6 2" xfId="16034"/>
    <cellStyle name="20% - Accent5 2 6 3" xfId="16035"/>
    <cellStyle name="20% - Accent5 2 6 4" xfId="16036"/>
    <cellStyle name="20% - Accent5 2 7" xfId="16037"/>
    <cellStyle name="20% - Accent5 2 8" xfId="16038"/>
    <cellStyle name="20% - Accent5 2 9" xfId="16039"/>
    <cellStyle name="20% - Accent5 3" xfId="202"/>
    <cellStyle name="20% - Accent5 3 10" xfId="16040"/>
    <cellStyle name="20% - Accent5 3 11" xfId="16041"/>
    <cellStyle name="20% - Accent5 3 2" xfId="203"/>
    <cellStyle name="20% - Accent5 3 2 2" xfId="204"/>
    <cellStyle name="20% - Accent5 3 2 2 2" xfId="205"/>
    <cellStyle name="20% - Accent5 3 2 2 2 2" xfId="16042"/>
    <cellStyle name="20% - Accent5 3 2 2 2 2 2" xfId="16043"/>
    <cellStyle name="20% - Accent5 3 2 2 2 2 3" xfId="16044"/>
    <cellStyle name="20% - Accent5 3 2 2 2 2 4" xfId="16045"/>
    <cellStyle name="20% - Accent5 3 2 2 2 3" xfId="16046"/>
    <cellStyle name="20% - Accent5 3 2 2 2 4" xfId="16047"/>
    <cellStyle name="20% - Accent5 3 2 2 2 5" xfId="16048"/>
    <cellStyle name="20% - Accent5 3 2 2 3" xfId="206"/>
    <cellStyle name="20% - Accent5 3 2 2 3 2" xfId="16049"/>
    <cellStyle name="20% - Accent5 3 2 2 3 2 2" xfId="16050"/>
    <cellStyle name="20% - Accent5 3 2 2 3 2 3" xfId="16051"/>
    <cellStyle name="20% - Accent5 3 2 2 3 2 4" xfId="16052"/>
    <cellStyle name="20% - Accent5 3 2 2 3 3" xfId="16053"/>
    <cellStyle name="20% - Accent5 3 2 2 3 4" xfId="16054"/>
    <cellStyle name="20% - Accent5 3 2 2 3 5" xfId="16055"/>
    <cellStyle name="20% - Accent5 3 2 2 4" xfId="16056"/>
    <cellStyle name="20% - Accent5 3 2 2 4 2" xfId="16057"/>
    <cellStyle name="20% - Accent5 3 2 2 4 3" xfId="16058"/>
    <cellStyle name="20% - Accent5 3 2 2 4 4" xfId="16059"/>
    <cellStyle name="20% - Accent5 3 2 2 5" xfId="16060"/>
    <cellStyle name="20% - Accent5 3 2 2 6" xfId="16061"/>
    <cellStyle name="20% - Accent5 3 2 2 7" xfId="16062"/>
    <cellStyle name="20% - Accent5 3 2 3" xfId="207"/>
    <cellStyle name="20% - Accent5 3 2 3 2" xfId="16063"/>
    <cellStyle name="20% - Accent5 3 2 3 2 2" xfId="16064"/>
    <cellStyle name="20% - Accent5 3 2 3 2 3" xfId="16065"/>
    <cellStyle name="20% - Accent5 3 2 3 2 4" xfId="16066"/>
    <cellStyle name="20% - Accent5 3 2 3 3" xfId="16067"/>
    <cellStyle name="20% - Accent5 3 2 3 4" xfId="16068"/>
    <cellStyle name="20% - Accent5 3 2 3 5" xfId="16069"/>
    <cellStyle name="20% - Accent5 3 2 4" xfId="208"/>
    <cellStyle name="20% - Accent5 3 2 4 2" xfId="16070"/>
    <cellStyle name="20% - Accent5 3 2 4 2 2" xfId="16071"/>
    <cellStyle name="20% - Accent5 3 2 4 2 3" xfId="16072"/>
    <cellStyle name="20% - Accent5 3 2 4 2 4" xfId="16073"/>
    <cellStyle name="20% - Accent5 3 2 4 3" xfId="16074"/>
    <cellStyle name="20% - Accent5 3 2 4 4" xfId="16075"/>
    <cellStyle name="20% - Accent5 3 2 4 5" xfId="16076"/>
    <cellStyle name="20% - Accent5 3 2 5" xfId="16077"/>
    <cellStyle name="20% - Accent5 3 2 5 2" xfId="16078"/>
    <cellStyle name="20% - Accent5 3 2 5 3" xfId="16079"/>
    <cellStyle name="20% - Accent5 3 2 5 4" xfId="16080"/>
    <cellStyle name="20% - Accent5 3 2 6" xfId="16081"/>
    <cellStyle name="20% - Accent5 3 2 7" xfId="16082"/>
    <cellStyle name="20% - Accent5 3 2 8" xfId="16083"/>
    <cellStyle name="20% - Accent5 3 3" xfId="209"/>
    <cellStyle name="20% - Accent5 3 3 2" xfId="210"/>
    <cellStyle name="20% - Accent5 3 3 2 2" xfId="16084"/>
    <cellStyle name="20% - Accent5 3 3 2 2 2" xfId="16085"/>
    <cellStyle name="20% - Accent5 3 3 2 2 3" xfId="16086"/>
    <cellStyle name="20% - Accent5 3 3 2 2 4" xfId="16087"/>
    <cellStyle name="20% - Accent5 3 3 2 3" xfId="16088"/>
    <cellStyle name="20% - Accent5 3 3 2 4" xfId="16089"/>
    <cellStyle name="20% - Accent5 3 3 2 5" xfId="16090"/>
    <cellStyle name="20% - Accent5 3 3 3" xfId="211"/>
    <cellStyle name="20% - Accent5 3 3 3 2" xfId="16091"/>
    <cellStyle name="20% - Accent5 3 3 3 2 2" xfId="16092"/>
    <cellStyle name="20% - Accent5 3 3 3 2 3" xfId="16093"/>
    <cellStyle name="20% - Accent5 3 3 3 2 4" xfId="16094"/>
    <cellStyle name="20% - Accent5 3 3 3 3" xfId="16095"/>
    <cellStyle name="20% - Accent5 3 3 3 4" xfId="16096"/>
    <cellStyle name="20% - Accent5 3 3 3 5" xfId="16097"/>
    <cellStyle name="20% - Accent5 3 3 4" xfId="16098"/>
    <cellStyle name="20% - Accent5 3 3 4 2" xfId="16099"/>
    <cellStyle name="20% - Accent5 3 3 4 3" xfId="16100"/>
    <cellStyle name="20% - Accent5 3 3 4 4" xfId="16101"/>
    <cellStyle name="20% - Accent5 3 3 5" xfId="16102"/>
    <cellStyle name="20% - Accent5 3 3 6" xfId="16103"/>
    <cellStyle name="20% - Accent5 3 3 7" xfId="16104"/>
    <cellStyle name="20% - Accent5 3 4" xfId="212"/>
    <cellStyle name="20% - Accent5 3 4 2" xfId="16105"/>
    <cellStyle name="20% - Accent5 3 4 2 2" xfId="16106"/>
    <cellStyle name="20% - Accent5 3 4 2 3" xfId="16107"/>
    <cellStyle name="20% - Accent5 3 4 2 4" xfId="16108"/>
    <cellStyle name="20% - Accent5 3 4 3" xfId="16109"/>
    <cellStyle name="20% - Accent5 3 4 4" xfId="16110"/>
    <cellStyle name="20% - Accent5 3 4 5" xfId="16111"/>
    <cellStyle name="20% - Accent5 3 5" xfId="213"/>
    <cellStyle name="20% - Accent5 3 5 2" xfId="16112"/>
    <cellStyle name="20% - Accent5 3 5 2 2" xfId="16113"/>
    <cellStyle name="20% - Accent5 3 5 2 3" xfId="16114"/>
    <cellStyle name="20% - Accent5 3 5 2 4" xfId="16115"/>
    <cellStyle name="20% - Accent5 3 5 3" xfId="16116"/>
    <cellStyle name="20% - Accent5 3 5 4" xfId="16117"/>
    <cellStyle name="20% - Accent5 3 5 5" xfId="16118"/>
    <cellStyle name="20% - Accent5 3 6" xfId="16119"/>
    <cellStyle name="20% - Accent5 3 6 2" xfId="16120"/>
    <cellStyle name="20% - Accent5 3 6 3" xfId="16121"/>
    <cellStyle name="20% - Accent5 3 6 4" xfId="16122"/>
    <cellStyle name="20% - Accent5 3 7" xfId="16123"/>
    <cellStyle name="20% - Accent5 3 8" xfId="16124"/>
    <cellStyle name="20% - Accent5 3 9" xfId="16125"/>
    <cellStyle name="20% - Accent5 4" xfId="214"/>
    <cellStyle name="20% - Accent5 4 10" xfId="16126"/>
    <cellStyle name="20% - Accent5 4 11" xfId="16127"/>
    <cellStyle name="20% - Accent5 4 2" xfId="215"/>
    <cellStyle name="20% - Accent5 4 2 2" xfId="216"/>
    <cellStyle name="20% - Accent5 4 2 2 2" xfId="217"/>
    <cellStyle name="20% - Accent5 4 2 2 2 2" xfId="16128"/>
    <cellStyle name="20% - Accent5 4 2 2 2 2 2" xfId="16129"/>
    <cellStyle name="20% - Accent5 4 2 2 2 2 3" xfId="16130"/>
    <cellStyle name="20% - Accent5 4 2 2 2 2 4" xfId="16131"/>
    <cellStyle name="20% - Accent5 4 2 2 2 3" xfId="16132"/>
    <cellStyle name="20% - Accent5 4 2 2 2 4" xfId="16133"/>
    <cellStyle name="20% - Accent5 4 2 2 2 5" xfId="16134"/>
    <cellStyle name="20% - Accent5 4 2 2 3" xfId="218"/>
    <cellStyle name="20% - Accent5 4 2 2 3 2" xfId="16135"/>
    <cellStyle name="20% - Accent5 4 2 2 3 2 2" xfId="16136"/>
    <cellStyle name="20% - Accent5 4 2 2 3 2 3" xfId="16137"/>
    <cellStyle name="20% - Accent5 4 2 2 3 2 4" xfId="16138"/>
    <cellStyle name="20% - Accent5 4 2 2 3 3" xfId="16139"/>
    <cellStyle name="20% - Accent5 4 2 2 3 4" xfId="16140"/>
    <cellStyle name="20% - Accent5 4 2 2 3 5" xfId="16141"/>
    <cellStyle name="20% - Accent5 4 2 2 4" xfId="16142"/>
    <cellStyle name="20% - Accent5 4 2 2 4 2" xfId="16143"/>
    <cellStyle name="20% - Accent5 4 2 2 4 3" xfId="16144"/>
    <cellStyle name="20% - Accent5 4 2 2 4 4" xfId="16145"/>
    <cellStyle name="20% - Accent5 4 2 2 5" xfId="16146"/>
    <cellStyle name="20% - Accent5 4 2 2 6" xfId="16147"/>
    <cellStyle name="20% - Accent5 4 2 2 7" xfId="16148"/>
    <cellStyle name="20% - Accent5 4 2 3" xfId="219"/>
    <cellStyle name="20% - Accent5 4 2 3 2" xfId="16149"/>
    <cellStyle name="20% - Accent5 4 2 3 2 2" xfId="16150"/>
    <cellStyle name="20% - Accent5 4 2 3 2 3" xfId="16151"/>
    <cellStyle name="20% - Accent5 4 2 3 2 4" xfId="16152"/>
    <cellStyle name="20% - Accent5 4 2 3 3" xfId="16153"/>
    <cellStyle name="20% - Accent5 4 2 3 4" xfId="16154"/>
    <cellStyle name="20% - Accent5 4 2 3 5" xfId="16155"/>
    <cellStyle name="20% - Accent5 4 2 4" xfId="220"/>
    <cellStyle name="20% - Accent5 4 2 4 2" xfId="16156"/>
    <cellStyle name="20% - Accent5 4 2 4 2 2" xfId="16157"/>
    <cellStyle name="20% - Accent5 4 2 4 2 3" xfId="16158"/>
    <cellStyle name="20% - Accent5 4 2 4 2 4" xfId="16159"/>
    <cellStyle name="20% - Accent5 4 2 4 3" xfId="16160"/>
    <cellStyle name="20% - Accent5 4 2 4 4" xfId="16161"/>
    <cellStyle name="20% - Accent5 4 2 4 5" xfId="16162"/>
    <cellStyle name="20% - Accent5 4 2 5" xfId="16163"/>
    <cellStyle name="20% - Accent5 4 2 5 2" xfId="16164"/>
    <cellStyle name="20% - Accent5 4 2 5 3" xfId="16165"/>
    <cellStyle name="20% - Accent5 4 2 5 4" xfId="16166"/>
    <cellStyle name="20% - Accent5 4 2 6" xfId="16167"/>
    <cellStyle name="20% - Accent5 4 2 7" xfId="16168"/>
    <cellStyle name="20% - Accent5 4 2 8" xfId="16169"/>
    <cellStyle name="20% - Accent5 4 3" xfId="221"/>
    <cellStyle name="20% - Accent5 4 3 2" xfId="222"/>
    <cellStyle name="20% - Accent5 4 3 2 2" xfId="16170"/>
    <cellStyle name="20% - Accent5 4 3 2 2 2" xfId="16171"/>
    <cellStyle name="20% - Accent5 4 3 2 2 3" xfId="16172"/>
    <cellStyle name="20% - Accent5 4 3 2 2 4" xfId="16173"/>
    <cellStyle name="20% - Accent5 4 3 2 3" xfId="16174"/>
    <cellStyle name="20% - Accent5 4 3 2 4" xfId="16175"/>
    <cellStyle name="20% - Accent5 4 3 2 5" xfId="16176"/>
    <cellStyle name="20% - Accent5 4 3 3" xfId="223"/>
    <cellStyle name="20% - Accent5 4 3 3 2" xfId="16177"/>
    <cellStyle name="20% - Accent5 4 3 3 2 2" xfId="16178"/>
    <cellStyle name="20% - Accent5 4 3 3 2 3" xfId="16179"/>
    <cellStyle name="20% - Accent5 4 3 3 2 4" xfId="16180"/>
    <cellStyle name="20% - Accent5 4 3 3 3" xfId="16181"/>
    <cellStyle name="20% - Accent5 4 3 3 4" xfId="16182"/>
    <cellStyle name="20% - Accent5 4 3 3 5" xfId="16183"/>
    <cellStyle name="20% - Accent5 4 3 4" xfId="16184"/>
    <cellStyle name="20% - Accent5 4 3 4 2" xfId="16185"/>
    <cellStyle name="20% - Accent5 4 3 4 3" xfId="16186"/>
    <cellStyle name="20% - Accent5 4 3 4 4" xfId="16187"/>
    <cellStyle name="20% - Accent5 4 3 5" xfId="16188"/>
    <cellStyle name="20% - Accent5 4 3 6" xfId="16189"/>
    <cellStyle name="20% - Accent5 4 3 7" xfId="16190"/>
    <cellStyle name="20% - Accent5 4 4" xfId="224"/>
    <cellStyle name="20% - Accent5 4 4 2" xfId="16191"/>
    <cellStyle name="20% - Accent5 4 4 2 2" xfId="16192"/>
    <cellStyle name="20% - Accent5 4 4 2 3" xfId="16193"/>
    <cellStyle name="20% - Accent5 4 4 2 4" xfId="16194"/>
    <cellStyle name="20% - Accent5 4 4 3" xfId="16195"/>
    <cellStyle name="20% - Accent5 4 4 4" xfId="16196"/>
    <cellStyle name="20% - Accent5 4 4 5" xfId="16197"/>
    <cellStyle name="20% - Accent5 4 5" xfId="225"/>
    <cellStyle name="20% - Accent5 4 5 2" xfId="16198"/>
    <cellStyle name="20% - Accent5 4 5 2 2" xfId="16199"/>
    <cellStyle name="20% - Accent5 4 5 2 3" xfId="16200"/>
    <cellStyle name="20% - Accent5 4 5 2 4" xfId="16201"/>
    <cellStyle name="20% - Accent5 4 5 3" xfId="16202"/>
    <cellStyle name="20% - Accent5 4 5 4" xfId="16203"/>
    <cellStyle name="20% - Accent5 4 5 5" xfId="16204"/>
    <cellStyle name="20% - Accent5 4 6" xfId="16205"/>
    <cellStyle name="20% - Accent5 4 6 2" xfId="16206"/>
    <cellStyle name="20% - Accent5 4 6 3" xfId="16207"/>
    <cellStyle name="20% - Accent5 4 6 4" xfId="16208"/>
    <cellStyle name="20% - Accent5 4 7" xfId="16209"/>
    <cellStyle name="20% - Accent5 4 8" xfId="16210"/>
    <cellStyle name="20% - Accent5 4 9" xfId="16211"/>
    <cellStyle name="20% - Accent5 5" xfId="226"/>
    <cellStyle name="20% - Accent5 5 10" xfId="16212"/>
    <cellStyle name="20% - Accent5 5 2" xfId="227"/>
    <cellStyle name="20% - Accent5 5 2 2" xfId="228"/>
    <cellStyle name="20% - Accent5 5 2 2 2" xfId="16213"/>
    <cellStyle name="20% - Accent5 5 2 2 2 2" xfId="16214"/>
    <cellStyle name="20% - Accent5 5 2 2 2 3" xfId="16215"/>
    <cellStyle name="20% - Accent5 5 2 2 2 4" xfId="16216"/>
    <cellStyle name="20% - Accent5 5 2 2 3" xfId="16217"/>
    <cellStyle name="20% - Accent5 5 2 2 4" xfId="16218"/>
    <cellStyle name="20% - Accent5 5 2 2 5" xfId="16219"/>
    <cellStyle name="20% - Accent5 5 2 3" xfId="229"/>
    <cellStyle name="20% - Accent5 5 2 3 2" xfId="16220"/>
    <cellStyle name="20% - Accent5 5 2 3 2 2" xfId="16221"/>
    <cellStyle name="20% - Accent5 5 2 3 2 3" xfId="16222"/>
    <cellStyle name="20% - Accent5 5 2 3 2 4" xfId="16223"/>
    <cellStyle name="20% - Accent5 5 2 3 3" xfId="16224"/>
    <cellStyle name="20% - Accent5 5 2 3 4" xfId="16225"/>
    <cellStyle name="20% - Accent5 5 2 3 5" xfId="16226"/>
    <cellStyle name="20% - Accent5 5 2 4" xfId="16227"/>
    <cellStyle name="20% - Accent5 5 2 4 2" xfId="16228"/>
    <cellStyle name="20% - Accent5 5 2 4 3" xfId="16229"/>
    <cellStyle name="20% - Accent5 5 2 4 4" xfId="16230"/>
    <cellStyle name="20% - Accent5 5 2 5" xfId="16231"/>
    <cellStyle name="20% - Accent5 5 2 6" xfId="16232"/>
    <cellStyle name="20% - Accent5 5 2 7" xfId="16233"/>
    <cellStyle name="20% - Accent5 5 3" xfId="230"/>
    <cellStyle name="20% - Accent5 5 3 2" xfId="16234"/>
    <cellStyle name="20% - Accent5 5 3 2 2" xfId="16235"/>
    <cellStyle name="20% - Accent5 5 3 2 3" xfId="16236"/>
    <cellStyle name="20% - Accent5 5 3 2 4" xfId="16237"/>
    <cellStyle name="20% - Accent5 5 3 3" xfId="16238"/>
    <cellStyle name="20% - Accent5 5 3 4" xfId="16239"/>
    <cellStyle name="20% - Accent5 5 3 5" xfId="16240"/>
    <cellStyle name="20% - Accent5 5 4" xfId="231"/>
    <cellStyle name="20% - Accent5 5 4 2" xfId="16241"/>
    <cellStyle name="20% - Accent5 5 4 2 2" xfId="16242"/>
    <cellStyle name="20% - Accent5 5 4 2 3" xfId="16243"/>
    <cellStyle name="20% - Accent5 5 4 2 4" xfId="16244"/>
    <cellStyle name="20% - Accent5 5 4 3" xfId="16245"/>
    <cellStyle name="20% - Accent5 5 4 4" xfId="16246"/>
    <cellStyle name="20% - Accent5 5 4 5" xfId="16247"/>
    <cellStyle name="20% - Accent5 5 5" xfId="16248"/>
    <cellStyle name="20% - Accent5 5 5 2" xfId="16249"/>
    <cellStyle name="20% - Accent5 5 5 3" xfId="16250"/>
    <cellStyle name="20% - Accent5 5 5 4" xfId="16251"/>
    <cellStyle name="20% - Accent5 5 6" xfId="16252"/>
    <cellStyle name="20% - Accent5 5 7" xfId="16253"/>
    <cellStyle name="20% - Accent5 5 8" xfId="16254"/>
    <cellStyle name="20% - Accent5 5 9" xfId="16255"/>
    <cellStyle name="20% - Accent5 6" xfId="232"/>
    <cellStyle name="20% - Accent5 6 2" xfId="233"/>
    <cellStyle name="20% - Accent5 6 2 2" xfId="16256"/>
    <cellStyle name="20% - Accent5 6 2 2 2" xfId="16257"/>
    <cellStyle name="20% - Accent5 6 2 2 3" xfId="16258"/>
    <cellStyle name="20% - Accent5 6 2 2 4" xfId="16259"/>
    <cellStyle name="20% - Accent5 6 2 3" xfId="16260"/>
    <cellStyle name="20% - Accent5 6 2 4" xfId="16261"/>
    <cellStyle name="20% - Accent5 6 2 5" xfId="16262"/>
    <cellStyle name="20% - Accent5 6 3" xfId="234"/>
    <cellStyle name="20% - Accent5 6 3 2" xfId="16263"/>
    <cellStyle name="20% - Accent5 6 3 2 2" xfId="16264"/>
    <cellStyle name="20% - Accent5 6 3 2 3" xfId="16265"/>
    <cellStyle name="20% - Accent5 6 3 2 4" xfId="16266"/>
    <cellStyle name="20% - Accent5 6 3 3" xfId="16267"/>
    <cellStyle name="20% - Accent5 6 3 4" xfId="16268"/>
    <cellStyle name="20% - Accent5 6 3 5" xfId="16269"/>
    <cellStyle name="20% - Accent5 6 4" xfId="16270"/>
    <cellStyle name="20% - Accent5 6 4 2" xfId="16271"/>
    <cellStyle name="20% - Accent5 6 4 3" xfId="16272"/>
    <cellStyle name="20% - Accent5 6 4 4" xfId="16273"/>
    <cellStyle name="20% - Accent5 6 5" xfId="16274"/>
    <cellStyle name="20% - Accent5 6 6" xfId="16275"/>
    <cellStyle name="20% - Accent5 6 7" xfId="16276"/>
    <cellStyle name="20% - Accent5 6 8" xfId="16277"/>
    <cellStyle name="20% - Accent5 6 9" xfId="16278"/>
    <cellStyle name="20% - Accent5 7" xfId="235"/>
    <cellStyle name="20% - Accent5 7 2" xfId="16279"/>
    <cellStyle name="20% - Accent5 7 2 2" xfId="16280"/>
    <cellStyle name="20% - Accent5 7 2 3" xfId="16281"/>
    <cellStyle name="20% - Accent5 7 2 4" xfId="16282"/>
    <cellStyle name="20% - Accent5 7 3" xfId="16283"/>
    <cellStyle name="20% - Accent5 7 4" xfId="16284"/>
    <cellStyle name="20% - Accent5 7 5" xfId="16285"/>
    <cellStyle name="20% - Accent5 7 6" xfId="16286"/>
    <cellStyle name="20% - Accent5 7 7" xfId="16287"/>
    <cellStyle name="20% - Accent5 7 8" xfId="16288"/>
    <cellStyle name="20% - Accent5 8" xfId="236"/>
    <cellStyle name="20% - Accent5 8 2" xfId="16289"/>
    <cellStyle name="20% - Accent5 8 2 2" xfId="16290"/>
    <cellStyle name="20% - Accent5 8 2 3" xfId="16291"/>
    <cellStyle name="20% - Accent5 8 2 4" xfId="16292"/>
    <cellStyle name="20% - Accent5 8 3" xfId="16293"/>
    <cellStyle name="20% - Accent5 8 4" xfId="16294"/>
    <cellStyle name="20% - Accent5 8 5" xfId="16295"/>
    <cellStyle name="20% - Accent5 8 6" xfId="16296"/>
    <cellStyle name="20% - Accent5 8 7" xfId="16297"/>
    <cellStyle name="20% - Accent5 8 8" xfId="16298"/>
    <cellStyle name="20% - Accent5 9" xfId="16299"/>
    <cellStyle name="20% - Accent5 9 2" xfId="16300"/>
    <cellStyle name="20% - Accent5 9 3" xfId="16301"/>
    <cellStyle name="20% - Accent5 9 4" xfId="16302"/>
    <cellStyle name="20% - Accent5 9 5" xfId="16303"/>
    <cellStyle name="20% - Accent5 9 6" xfId="16304"/>
    <cellStyle name="20% - Accent6 10" xfId="16305"/>
    <cellStyle name="20% - Accent6 10 2" xfId="16306"/>
    <cellStyle name="20% - Accent6 10 3" xfId="16307"/>
    <cellStyle name="20% - Accent6 10 4" xfId="16308"/>
    <cellStyle name="20% - Accent6 10 5" xfId="16309"/>
    <cellStyle name="20% - Accent6 11" xfId="16310"/>
    <cellStyle name="20% - Accent6 11 2" xfId="16311"/>
    <cellStyle name="20% - Accent6 11 3" xfId="16312"/>
    <cellStyle name="20% - Accent6 12" xfId="16313"/>
    <cellStyle name="20% - Accent6 13" xfId="16314"/>
    <cellStyle name="20% - Accent6 13 2" xfId="16315"/>
    <cellStyle name="20% - Accent6 13 3" xfId="16316"/>
    <cellStyle name="20% - Accent6 14" xfId="16317"/>
    <cellStyle name="20% - Accent6 15" xfId="40120"/>
    <cellStyle name="20% - Accent6 16" xfId="40121"/>
    <cellStyle name="20% - Accent6 17" xfId="40122"/>
    <cellStyle name="20% - Accent6 2" xfId="237"/>
    <cellStyle name="20% - Accent6 2 10" xfId="16318"/>
    <cellStyle name="20% - Accent6 2 11" xfId="16319"/>
    <cellStyle name="20% - Accent6 2 12" xfId="16320"/>
    <cellStyle name="20% - Accent6 2 2" xfId="238"/>
    <cellStyle name="20% - Accent6 2 2 2" xfId="239"/>
    <cellStyle name="20% - Accent6 2 2 2 2" xfId="240"/>
    <cellStyle name="20% - Accent6 2 2 2 2 2" xfId="16321"/>
    <cellStyle name="20% - Accent6 2 2 2 2 2 2" xfId="16322"/>
    <cellStyle name="20% - Accent6 2 2 2 2 2 3" xfId="16323"/>
    <cellStyle name="20% - Accent6 2 2 2 2 2 4" xfId="16324"/>
    <cellStyle name="20% - Accent6 2 2 2 2 3" xfId="16325"/>
    <cellStyle name="20% - Accent6 2 2 2 2 4" xfId="16326"/>
    <cellStyle name="20% - Accent6 2 2 2 2 5" xfId="16327"/>
    <cellStyle name="20% - Accent6 2 2 2 3" xfId="241"/>
    <cellStyle name="20% - Accent6 2 2 2 3 2" xfId="16328"/>
    <cellStyle name="20% - Accent6 2 2 2 3 2 2" xfId="16329"/>
    <cellStyle name="20% - Accent6 2 2 2 3 2 3" xfId="16330"/>
    <cellStyle name="20% - Accent6 2 2 2 3 2 4" xfId="16331"/>
    <cellStyle name="20% - Accent6 2 2 2 3 3" xfId="16332"/>
    <cellStyle name="20% - Accent6 2 2 2 3 4" xfId="16333"/>
    <cellStyle name="20% - Accent6 2 2 2 3 5" xfId="16334"/>
    <cellStyle name="20% - Accent6 2 2 2 4" xfId="16335"/>
    <cellStyle name="20% - Accent6 2 2 2 4 2" xfId="16336"/>
    <cellStyle name="20% - Accent6 2 2 2 4 3" xfId="16337"/>
    <cellStyle name="20% - Accent6 2 2 2 4 4" xfId="16338"/>
    <cellStyle name="20% - Accent6 2 2 2 5" xfId="16339"/>
    <cellStyle name="20% - Accent6 2 2 2 6" xfId="16340"/>
    <cellStyle name="20% - Accent6 2 2 2 7" xfId="16341"/>
    <cellStyle name="20% - Accent6 2 2 3" xfId="242"/>
    <cellStyle name="20% - Accent6 2 2 3 2" xfId="16342"/>
    <cellStyle name="20% - Accent6 2 2 3 2 2" xfId="16343"/>
    <cellStyle name="20% - Accent6 2 2 3 2 3" xfId="16344"/>
    <cellStyle name="20% - Accent6 2 2 3 2 4" xfId="16345"/>
    <cellStyle name="20% - Accent6 2 2 3 3" xfId="16346"/>
    <cellStyle name="20% - Accent6 2 2 3 4" xfId="16347"/>
    <cellStyle name="20% - Accent6 2 2 3 5" xfId="16348"/>
    <cellStyle name="20% - Accent6 2 2 4" xfId="243"/>
    <cellStyle name="20% - Accent6 2 2 4 2" xfId="16349"/>
    <cellStyle name="20% - Accent6 2 2 4 2 2" xfId="16350"/>
    <cellStyle name="20% - Accent6 2 2 4 2 3" xfId="16351"/>
    <cellStyle name="20% - Accent6 2 2 4 2 4" xfId="16352"/>
    <cellStyle name="20% - Accent6 2 2 4 3" xfId="16353"/>
    <cellStyle name="20% - Accent6 2 2 4 4" xfId="16354"/>
    <cellStyle name="20% - Accent6 2 2 4 5" xfId="16355"/>
    <cellStyle name="20% - Accent6 2 2 5" xfId="16356"/>
    <cellStyle name="20% - Accent6 2 2 5 2" xfId="16357"/>
    <cellStyle name="20% - Accent6 2 2 5 3" xfId="16358"/>
    <cellStyle name="20% - Accent6 2 2 5 4" xfId="16359"/>
    <cellStyle name="20% - Accent6 2 2 6" xfId="16360"/>
    <cellStyle name="20% - Accent6 2 2 7" xfId="16361"/>
    <cellStyle name="20% - Accent6 2 2 8" xfId="16362"/>
    <cellStyle name="20% - Accent6 2 2 9" xfId="16363"/>
    <cellStyle name="20% - Accent6 2 3" xfId="244"/>
    <cellStyle name="20% - Accent6 2 3 2" xfId="245"/>
    <cellStyle name="20% - Accent6 2 3 2 2" xfId="16364"/>
    <cellStyle name="20% - Accent6 2 3 2 2 2" xfId="16365"/>
    <cellStyle name="20% - Accent6 2 3 2 2 3" xfId="16366"/>
    <cellStyle name="20% - Accent6 2 3 2 2 4" xfId="16367"/>
    <cellStyle name="20% - Accent6 2 3 2 3" xfId="16368"/>
    <cellStyle name="20% - Accent6 2 3 2 4" xfId="16369"/>
    <cellStyle name="20% - Accent6 2 3 2 5" xfId="16370"/>
    <cellStyle name="20% - Accent6 2 3 3" xfId="246"/>
    <cellStyle name="20% - Accent6 2 3 3 2" xfId="16371"/>
    <cellStyle name="20% - Accent6 2 3 3 2 2" xfId="16372"/>
    <cellStyle name="20% - Accent6 2 3 3 2 3" xfId="16373"/>
    <cellStyle name="20% - Accent6 2 3 3 2 4" xfId="16374"/>
    <cellStyle name="20% - Accent6 2 3 3 3" xfId="16375"/>
    <cellStyle name="20% - Accent6 2 3 3 4" xfId="16376"/>
    <cellStyle name="20% - Accent6 2 3 3 5" xfId="16377"/>
    <cellStyle name="20% - Accent6 2 3 4" xfId="16378"/>
    <cellStyle name="20% - Accent6 2 3 4 2" xfId="16379"/>
    <cellStyle name="20% - Accent6 2 3 4 3" xfId="16380"/>
    <cellStyle name="20% - Accent6 2 3 4 4" xfId="16381"/>
    <cellStyle name="20% - Accent6 2 3 5" xfId="16382"/>
    <cellStyle name="20% - Accent6 2 3 6" xfId="16383"/>
    <cellStyle name="20% - Accent6 2 3 7" xfId="16384"/>
    <cellStyle name="20% - Accent6 2 3 8" xfId="16385"/>
    <cellStyle name="20% - Accent6 2 4" xfId="247"/>
    <cellStyle name="20% - Accent6 2 4 2" xfId="16386"/>
    <cellStyle name="20% - Accent6 2 4 2 2" xfId="16387"/>
    <cellStyle name="20% - Accent6 2 4 2 3" xfId="16388"/>
    <cellStyle name="20% - Accent6 2 4 2 4" xfId="16389"/>
    <cellStyle name="20% - Accent6 2 4 3" xfId="16390"/>
    <cellStyle name="20% - Accent6 2 4 4" xfId="16391"/>
    <cellStyle name="20% - Accent6 2 4 5" xfId="16392"/>
    <cellStyle name="20% - Accent6 2 4 6" xfId="16393"/>
    <cellStyle name="20% - Accent6 2 5" xfId="248"/>
    <cellStyle name="20% - Accent6 2 5 2" xfId="16394"/>
    <cellStyle name="20% - Accent6 2 5 2 2" xfId="16395"/>
    <cellStyle name="20% - Accent6 2 5 2 3" xfId="16396"/>
    <cellStyle name="20% - Accent6 2 5 2 4" xfId="16397"/>
    <cellStyle name="20% - Accent6 2 5 3" xfId="16398"/>
    <cellStyle name="20% - Accent6 2 5 4" xfId="16399"/>
    <cellStyle name="20% - Accent6 2 5 5" xfId="16400"/>
    <cellStyle name="20% - Accent6 2 5 6" xfId="16401"/>
    <cellStyle name="20% - Accent6 2 6" xfId="16402"/>
    <cellStyle name="20% - Accent6 2 6 2" xfId="16403"/>
    <cellStyle name="20% - Accent6 2 6 3" xfId="16404"/>
    <cellStyle name="20% - Accent6 2 6 4" xfId="16405"/>
    <cellStyle name="20% - Accent6 2 7" xfId="16406"/>
    <cellStyle name="20% - Accent6 2 8" xfId="16407"/>
    <cellStyle name="20% - Accent6 2 9" xfId="16408"/>
    <cellStyle name="20% - Accent6 3" xfId="249"/>
    <cellStyle name="20% - Accent6 3 10" xfId="16409"/>
    <cellStyle name="20% - Accent6 3 11" xfId="16410"/>
    <cellStyle name="20% - Accent6 3 2" xfId="250"/>
    <cellStyle name="20% - Accent6 3 2 2" xfId="251"/>
    <cellStyle name="20% - Accent6 3 2 2 2" xfId="252"/>
    <cellStyle name="20% - Accent6 3 2 2 2 2" xfId="16411"/>
    <cellStyle name="20% - Accent6 3 2 2 2 2 2" xfId="16412"/>
    <cellStyle name="20% - Accent6 3 2 2 2 2 3" xfId="16413"/>
    <cellStyle name="20% - Accent6 3 2 2 2 2 4" xfId="16414"/>
    <cellStyle name="20% - Accent6 3 2 2 2 3" xfId="16415"/>
    <cellStyle name="20% - Accent6 3 2 2 2 4" xfId="16416"/>
    <cellStyle name="20% - Accent6 3 2 2 2 5" xfId="16417"/>
    <cellStyle name="20% - Accent6 3 2 2 3" xfId="253"/>
    <cellStyle name="20% - Accent6 3 2 2 3 2" xfId="16418"/>
    <cellStyle name="20% - Accent6 3 2 2 3 2 2" xfId="16419"/>
    <cellStyle name="20% - Accent6 3 2 2 3 2 3" xfId="16420"/>
    <cellStyle name="20% - Accent6 3 2 2 3 2 4" xfId="16421"/>
    <cellStyle name="20% - Accent6 3 2 2 3 3" xfId="16422"/>
    <cellStyle name="20% - Accent6 3 2 2 3 4" xfId="16423"/>
    <cellStyle name="20% - Accent6 3 2 2 3 5" xfId="16424"/>
    <cellStyle name="20% - Accent6 3 2 2 4" xfId="16425"/>
    <cellStyle name="20% - Accent6 3 2 2 4 2" xfId="16426"/>
    <cellStyle name="20% - Accent6 3 2 2 4 3" xfId="16427"/>
    <cellStyle name="20% - Accent6 3 2 2 4 4" xfId="16428"/>
    <cellStyle name="20% - Accent6 3 2 2 5" xfId="16429"/>
    <cellStyle name="20% - Accent6 3 2 2 6" xfId="16430"/>
    <cellStyle name="20% - Accent6 3 2 2 7" xfId="16431"/>
    <cellStyle name="20% - Accent6 3 2 3" xfId="254"/>
    <cellStyle name="20% - Accent6 3 2 3 2" xfId="16432"/>
    <cellStyle name="20% - Accent6 3 2 3 2 2" xfId="16433"/>
    <cellStyle name="20% - Accent6 3 2 3 2 3" xfId="16434"/>
    <cellStyle name="20% - Accent6 3 2 3 2 4" xfId="16435"/>
    <cellStyle name="20% - Accent6 3 2 3 3" xfId="16436"/>
    <cellStyle name="20% - Accent6 3 2 3 4" xfId="16437"/>
    <cellStyle name="20% - Accent6 3 2 3 5" xfId="16438"/>
    <cellStyle name="20% - Accent6 3 2 4" xfId="255"/>
    <cellStyle name="20% - Accent6 3 2 4 2" xfId="16439"/>
    <cellStyle name="20% - Accent6 3 2 4 2 2" xfId="16440"/>
    <cellStyle name="20% - Accent6 3 2 4 2 3" xfId="16441"/>
    <cellStyle name="20% - Accent6 3 2 4 2 4" xfId="16442"/>
    <cellStyle name="20% - Accent6 3 2 4 3" xfId="16443"/>
    <cellStyle name="20% - Accent6 3 2 4 4" xfId="16444"/>
    <cellStyle name="20% - Accent6 3 2 4 5" xfId="16445"/>
    <cellStyle name="20% - Accent6 3 2 5" xfId="16446"/>
    <cellStyle name="20% - Accent6 3 2 5 2" xfId="16447"/>
    <cellStyle name="20% - Accent6 3 2 5 3" xfId="16448"/>
    <cellStyle name="20% - Accent6 3 2 5 4" xfId="16449"/>
    <cellStyle name="20% - Accent6 3 2 6" xfId="16450"/>
    <cellStyle name="20% - Accent6 3 2 7" xfId="16451"/>
    <cellStyle name="20% - Accent6 3 2 8" xfId="16452"/>
    <cellStyle name="20% - Accent6 3 3" xfId="256"/>
    <cellStyle name="20% - Accent6 3 3 2" xfId="257"/>
    <cellStyle name="20% - Accent6 3 3 2 2" xfId="16453"/>
    <cellStyle name="20% - Accent6 3 3 2 2 2" xfId="16454"/>
    <cellStyle name="20% - Accent6 3 3 2 2 3" xfId="16455"/>
    <cellStyle name="20% - Accent6 3 3 2 2 4" xfId="16456"/>
    <cellStyle name="20% - Accent6 3 3 2 3" xfId="16457"/>
    <cellStyle name="20% - Accent6 3 3 2 4" xfId="16458"/>
    <cellStyle name="20% - Accent6 3 3 2 5" xfId="16459"/>
    <cellStyle name="20% - Accent6 3 3 3" xfId="258"/>
    <cellStyle name="20% - Accent6 3 3 3 2" xfId="16460"/>
    <cellStyle name="20% - Accent6 3 3 3 2 2" xfId="16461"/>
    <cellStyle name="20% - Accent6 3 3 3 2 3" xfId="16462"/>
    <cellStyle name="20% - Accent6 3 3 3 2 4" xfId="16463"/>
    <cellStyle name="20% - Accent6 3 3 3 3" xfId="16464"/>
    <cellStyle name="20% - Accent6 3 3 3 4" xfId="16465"/>
    <cellStyle name="20% - Accent6 3 3 3 5" xfId="16466"/>
    <cellStyle name="20% - Accent6 3 3 4" xfId="16467"/>
    <cellStyle name="20% - Accent6 3 3 4 2" xfId="16468"/>
    <cellStyle name="20% - Accent6 3 3 4 3" xfId="16469"/>
    <cellStyle name="20% - Accent6 3 3 4 4" xfId="16470"/>
    <cellStyle name="20% - Accent6 3 3 5" xfId="16471"/>
    <cellStyle name="20% - Accent6 3 3 6" xfId="16472"/>
    <cellStyle name="20% - Accent6 3 3 7" xfId="16473"/>
    <cellStyle name="20% - Accent6 3 4" xfId="259"/>
    <cellStyle name="20% - Accent6 3 4 2" xfId="16474"/>
    <cellStyle name="20% - Accent6 3 4 2 2" xfId="16475"/>
    <cellStyle name="20% - Accent6 3 4 2 3" xfId="16476"/>
    <cellStyle name="20% - Accent6 3 4 2 4" xfId="16477"/>
    <cellStyle name="20% - Accent6 3 4 3" xfId="16478"/>
    <cellStyle name="20% - Accent6 3 4 4" xfId="16479"/>
    <cellStyle name="20% - Accent6 3 4 5" xfId="16480"/>
    <cellStyle name="20% - Accent6 3 5" xfId="260"/>
    <cellStyle name="20% - Accent6 3 5 2" xfId="16481"/>
    <cellStyle name="20% - Accent6 3 5 2 2" xfId="16482"/>
    <cellStyle name="20% - Accent6 3 5 2 3" xfId="16483"/>
    <cellStyle name="20% - Accent6 3 5 2 4" xfId="16484"/>
    <cellStyle name="20% - Accent6 3 5 3" xfId="16485"/>
    <cellStyle name="20% - Accent6 3 5 4" xfId="16486"/>
    <cellStyle name="20% - Accent6 3 5 5" xfId="16487"/>
    <cellStyle name="20% - Accent6 3 6" xfId="16488"/>
    <cellStyle name="20% - Accent6 3 6 2" xfId="16489"/>
    <cellStyle name="20% - Accent6 3 6 3" xfId="16490"/>
    <cellStyle name="20% - Accent6 3 6 4" xfId="16491"/>
    <cellStyle name="20% - Accent6 3 7" xfId="16492"/>
    <cellStyle name="20% - Accent6 3 8" xfId="16493"/>
    <cellStyle name="20% - Accent6 3 9" xfId="16494"/>
    <cellStyle name="20% - Accent6 4" xfId="261"/>
    <cellStyle name="20% - Accent6 4 10" xfId="16495"/>
    <cellStyle name="20% - Accent6 4 11" xfId="16496"/>
    <cellStyle name="20% - Accent6 4 2" xfId="262"/>
    <cellStyle name="20% - Accent6 4 2 2" xfId="263"/>
    <cellStyle name="20% - Accent6 4 2 2 2" xfId="264"/>
    <cellStyle name="20% - Accent6 4 2 2 2 2" xfId="16497"/>
    <cellStyle name="20% - Accent6 4 2 2 2 2 2" xfId="16498"/>
    <cellStyle name="20% - Accent6 4 2 2 2 2 3" xfId="16499"/>
    <cellStyle name="20% - Accent6 4 2 2 2 2 4" xfId="16500"/>
    <cellStyle name="20% - Accent6 4 2 2 2 3" xfId="16501"/>
    <cellStyle name="20% - Accent6 4 2 2 2 4" xfId="16502"/>
    <cellStyle name="20% - Accent6 4 2 2 2 5" xfId="16503"/>
    <cellStyle name="20% - Accent6 4 2 2 3" xfId="265"/>
    <cellStyle name="20% - Accent6 4 2 2 3 2" xfId="16504"/>
    <cellStyle name="20% - Accent6 4 2 2 3 2 2" xfId="16505"/>
    <cellStyle name="20% - Accent6 4 2 2 3 2 3" xfId="16506"/>
    <cellStyle name="20% - Accent6 4 2 2 3 2 4" xfId="16507"/>
    <cellStyle name="20% - Accent6 4 2 2 3 3" xfId="16508"/>
    <cellStyle name="20% - Accent6 4 2 2 3 4" xfId="16509"/>
    <cellStyle name="20% - Accent6 4 2 2 3 5" xfId="16510"/>
    <cellStyle name="20% - Accent6 4 2 2 4" xfId="16511"/>
    <cellStyle name="20% - Accent6 4 2 2 4 2" xfId="16512"/>
    <cellStyle name="20% - Accent6 4 2 2 4 3" xfId="16513"/>
    <cellStyle name="20% - Accent6 4 2 2 4 4" xfId="16514"/>
    <cellStyle name="20% - Accent6 4 2 2 5" xfId="16515"/>
    <cellStyle name="20% - Accent6 4 2 2 6" xfId="16516"/>
    <cellStyle name="20% - Accent6 4 2 2 7" xfId="16517"/>
    <cellStyle name="20% - Accent6 4 2 3" xfId="266"/>
    <cellStyle name="20% - Accent6 4 2 3 2" xfId="16518"/>
    <cellStyle name="20% - Accent6 4 2 3 2 2" xfId="16519"/>
    <cellStyle name="20% - Accent6 4 2 3 2 3" xfId="16520"/>
    <cellStyle name="20% - Accent6 4 2 3 2 4" xfId="16521"/>
    <cellStyle name="20% - Accent6 4 2 3 3" xfId="16522"/>
    <cellStyle name="20% - Accent6 4 2 3 4" xfId="16523"/>
    <cellStyle name="20% - Accent6 4 2 3 5" xfId="16524"/>
    <cellStyle name="20% - Accent6 4 2 4" xfId="267"/>
    <cellStyle name="20% - Accent6 4 2 4 2" xfId="16525"/>
    <cellStyle name="20% - Accent6 4 2 4 2 2" xfId="16526"/>
    <cellStyle name="20% - Accent6 4 2 4 2 3" xfId="16527"/>
    <cellStyle name="20% - Accent6 4 2 4 2 4" xfId="16528"/>
    <cellStyle name="20% - Accent6 4 2 4 3" xfId="16529"/>
    <cellStyle name="20% - Accent6 4 2 4 4" xfId="16530"/>
    <cellStyle name="20% - Accent6 4 2 4 5" xfId="16531"/>
    <cellStyle name="20% - Accent6 4 2 5" xfId="16532"/>
    <cellStyle name="20% - Accent6 4 2 5 2" xfId="16533"/>
    <cellStyle name="20% - Accent6 4 2 5 3" xfId="16534"/>
    <cellStyle name="20% - Accent6 4 2 5 4" xfId="16535"/>
    <cellStyle name="20% - Accent6 4 2 6" xfId="16536"/>
    <cellStyle name="20% - Accent6 4 2 7" xfId="16537"/>
    <cellStyle name="20% - Accent6 4 2 8" xfId="16538"/>
    <cellStyle name="20% - Accent6 4 3" xfId="268"/>
    <cellStyle name="20% - Accent6 4 3 2" xfId="269"/>
    <cellStyle name="20% - Accent6 4 3 2 2" xfId="16539"/>
    <cellStyle name="20% - Accent6 4 3 2 2 2" xfId="16540"/>
    <cellStyle name="20% - Accent6 4 3 2 2 3" xfId="16541"/>
    <cellStyle name="20% - Accent6 4 3 2 2 4" xfId="16542"/>
    <cellStyle name="20% - Accent6 4 3 2 3" xfId="16543"/>
    <cellStyle name="20% - Accent6 4 3 2 4" xfId="16544"/>
    <cellStyle name="20% - Accent6 4 3 2 5" xfId="16545"/>
    <cellStyle name="20% - Accent6 4 3 3" xfId="270"/>
    <cellStyle name="20% - Accent6 4 3 3 2" xfId="16546"/>
    <cellStyle name="20% - Accent6 4 3 3 2 2" xfId="16547"/>
    <cellStyle name="20% - Accent6 4 3 3 2 3" xfId="16548"/>
    <cellStyle name="20% - Accent6 4 3 3 2 4" xfId="16549"/>
    <cellStyle name="20% - Accent6 4 3 3 3" xfId="16550"/>
    <cellStyle name="20% - Accent6 4 3 3 4" xfId="16551"/>
    <cellStyle name="20% - Accent6 4 3 3 5" xfId="16552"/>
    <cellStyle name="20% - Accent6 4 3 4" xfId="16553"/>
    <cellStyle name="20% - Accent6 4 3 4 2" xfId="16554"/>
    <cellStyle name="20% - Accent6 4 3 4 3" xfId="16555"/>
    <cellStyle name="20% - Accent6 4 3 4 4" xfId="16556"/>
    <cellStyle name="20% - Accent6 4 3 5" xfId="16557"/>
    <cellStyle name="20% - Accent6 4 3 6" xfId="16558"/>
    <cellStyle name="20% - Accent6 4 3 7" xfId="16559"/>
    <cellStyle name="20% - Accent6 4 4" xfId="271"/>
    <cellStyle name="20% - Accent6 4 4 2" xfId="16560"/>
    <cellStyle name="20% - Accent6 4 4 2 2" xfId="16561"/>
    <cellStyle name="20% - Accent6 4 4 2 3" xfId="16562"/>
    <cellStyle name="20% - Accent6 4 4 2 4" xfId="16563"/>
    <cellStyle name="20% - Accent6 4 4 3" xfId="16564"/>
    <cellStyle name="20% - Accent6 4 4 4" xfId="16565"/>
    <cellStyle name="20% - Accent6 4 4 5" xfId="16566"/>
    <cellStyle name="20% - Accent6 4 5" xfId="272"/>
    <cellStyle name="20% - Accent6 4 5 2" xfId="16567"/>
    <cellStyle name="20% - Accent6 4 5 2 2" xfId="16568"/>
    <cellStyle name="20% - Accent6 4 5 2 3" xfId="16569"/>
    <cellStyle name="20% - Accent6 4 5 2 4" xfId="16570"/>
    <cellStyle name="20% - Accent6 4 5 3" xfId="16571"/>
    <cellStyle name="20% - Accent6 4 5 4" xfId="16572"/>
    <cellStyle name="20% - Accent6 4 5 5" xfId="16573"/>
    <cellStyle name="20% - Accent6 4 6" xfId="16574"/>
    <cellStyle name="20% - Accent6 4 6 2" xfId="16575"/>
    <cellStyle name="20% - Accent6 4 6 3" xfId="16576"/>
    <cellStyle name="20% - Accent6 4 6 4" xfId="16577"/>
    <cellStyle name="20% - Accent6 4 7" xfId="16578"/>
    <cellStyle name="20% - Accent6 4 8" xfId="16579"/>
    <cellStyle name="20% - Accent6 4 9" xfId="16580"/>
    <cellStyle name="20% - Accent6 5" xfId="273"/>
    <cellStyle name="20% - Accent6 5 10" xfId="16581"/>
    <cellStyle name="20% - Accent6 5 2" xfId="274"/>
    <cellStyle name="20% - Accent6 5 2 2" xfId="275"/>
    <cellStyle name="20% - Accent6 5 2 2 2" xfId="16582"/>
    <cellStyle name="20% - Accent6 5 2 2 2 2" xfId="16583"/>
    <cellStyle name="20% - Accent6 5 2 2 2 3" xfId="16584"/>
    <cellStyle name="20% - Accent6 5 2 2 2 4" xfId="16585"/>
    <cellStyle name="20% - Accent6 5 2 2 3" xfId="16586"/>
    <cellStyle name="20% - Accent6 5 2 2 4" xfId="16587"/>
    <cellStyle name="20% - Accent6 5 2 2 5" xfId="16588"/>
    <cellStyle name="20% - Accent6 5 2 3" xfId="276"/>
    <cellStyle name="20% - Accent6 5 2 3 2" xfId="16589"/>
    <cellStyle name="20% - Accent6 5 2 3 2 2" xfId="16590"/>
    <cellStyle name="20% - Accent6 5 2 3 2 3" xfId="16591"/>
    <cellStyle name="20% - Accent6 5 2 3 2 4" xfId="16592"/>
    <cellStyle name="20% - Accent6 5 2 3 3" xfId="16593"/>
    <cellStyle name="20% - Accent6 5 2 3 4" xfId="16594"/>
    <cellStyle name="20% - Accent6 5 2 3 5" xfId="16595"/>
    <cellStyle name="20% - Accent6 5 2 4" xfId="16596"/>
    <cellStyle name="20% - Accent6 5 2 4 2" xfId="16597"/>
    <cellStyle name="20% - Accent6 5 2 4 3" xfId="16598"/>
    <cellStyle name="20% - Accent6 5 2 4 4" xfId="16599"/>
    <cellStyle name="20% - Accent6 5 2 5" xfId="16600"/>
    <cellStyle name="20% - Accent6 5 2 6" xfId="16601"/>
    <cellStyle name="20% - Accent6 5 2 7" xfId="16602"/>
    <cellStyle name="20% - Accent6 5 3" xfId="277"/>
    <cellStyle name="20% - Accent6 5 3 2" xfId="16603"/>
    <cellStyle name="20% - Accent6 5 3 2 2" xfId="16604"/>
    <cellStyle name="20% - Accent6 5 3 2 3" xfId="16605"/>
    <cellStyle name="20% - Accent6 5 3 2 4" xfId="16606"/>
    <cellStyle name="20% - Accent6 5 3 3" xfId="16607"/>
    <cellStyle name="20% - Accent6 5 3 4" xfId="16608"/>
    <cellStyle name="20% - Accent6 5 3 5" xfId="16609"/>
    <cellStyle name="20% - Accent6 5 4" xfId="278"/>
    <cellStyle name="20% - Accent6 5 4 2" xfId="16610"/>
    <cellStyle name="20% - Accent6 5 4 2 2" xfId="16611"/>
    <cellStyle name="20% - Accent6 5 4 2 3" xfId="16612"/>
    <cellStyle name="20% - Accent6 5 4 2 4" xfId="16613"/>
    <cellStyle name="20% - Accent6 5 4 3" xfId="16614"/>
    <cellStyle name="20% - Accent6 5 4 4" xfId="16615"/>
    <cellStyle name="20% - Accent6 5 4 5" xfId="16616"/>
    <cellStyle name="20% - Accent6 5 5" xfId="16617"/>
    <cellStyle name="20% - Accent6 5 5 2" xfId="16618"/>
    <cellStyle name="20% - Accent6 5 5 3" xfId="16619"/>
    <cellStyle name="20% - Accent6 5 5 4" xfId="16620"/>
    <cellStyle name="20% - Accent6 5 6" xfId="16621"/>
    <cellStyle name="20% - Accent6 5 7" xfId="16622"/>
    <cellStyle name="20% - Accent6 5 8" xfId="16623"/>
    <cellStyle name="20% - Accent6 5 9" xfId="16624"/>
    <cellStyle name="20% - Accent6 6" xfId="279"/>
    <cellStyle name="20% - Accent6 6 2" xfId="280"/>
    <cellStyle name="20% - Accent6 6 2 2" xfId="16625"/>
    <cellStyle name="20% - Accent6 6 2 2 2" xfId="16626"/>
    <cellStyle name="20% - Accent6 6 2 2 3" xfId="16627"/>
    <cellStyle name="20% - Accent6 6 2 2 4" xfId="16628"/>
    <cellStyle name="20% - Accent6 6 2 3" xfId="16629"/>
    <cellStyle name="20% - Accent6 6 2 4" xfId="16630"/>
    <cellStyle name="20% - Accent6 6 2 5" xfId="16631"/>
    <cellStyle name="20% - Accent6 6 3" xfId="281"/>
    <cellStyle name="20% - Accent6 6 3 2" xfId="16632"/>
    <cellStyle name="20% - Accent6 6 3 2 2" xfId="16633"/>
    <cellStyle name="20% - Accent6 6 3 2 3" xfId="16634"/>
    <cellStyle name="20% - Accent6 6 3 2 4" xfId="16635"/>
    <cellStyle name="20% - Accent6 6 3 3" xfId="16636"/>
    <cellStyle name="20% - Accent6 6 3 4" xfId="16637"/>
    <cellStyle name="20% - Accent6 6 3 5" xfId="16638"/>
    <cellStyle name="20% - Accent6 6 4" xfId="16639"/>
    <cellStyle name="20% - Accent6 6 4 2" xfId="16640"/>
    <cellStyle name="20% - Accent6 6 4 3" xfId="16641"/>
    <cellStyle name="20% - Accent6 6 4 4" xfId="16642"/>
    <cellStyle name="20% - Accent6 6 5" xfId="16643"/>
    <cellStyle name="20% - Accent6 6 6" xfId="16644"/>
    <cellStyle name="20% - Accent6 6 7" xfId="16645"/>
    <cellStyle name="20% - Accent6 6 8" xfId="16646"/>
    <cellStyle name="20% - Accent6 6 9" xfId="16647"/>
    <cellStyle name="20% - Accent6 7" xfId="282"/>
    <cellStyle name="20% - Accent6 7 2" xfId="16648"/>
    <cellStyle name="20% - Accent6 7 2 2" xfId="16649"/>
    <cellStyle name="20% - Accent6 7 2 3" xfId="16650"/>
    <cellStyle name="20% - Accent6 7 2 4" xfId="16651"/>
    <cellStyle name="20% - Accent6 7 3" xfId="16652"/>
    <cellStyle name="20% - Accent6 7 4" xfId="16653"/>
    <cellStyle name="20% - Accent6 7 5" xfId="16654"/>
    <cellStyle name="20% - Accent6 7 6" xfId="16655"/>
    <cellStyle name="20% - Accent6 7 7" xfId="16656"/>
    <cellStyle name="20% - Accent6 7 8" xfId="16657"/>
    <cellStyle name="20% - Accent6 8" xfId="283"/>
    <cellStyle name="20% - Accent6 8 2" xfId="16658"/>
    <cellStyle name="20% - Accent6 8 2 2" xfId="16659"/>
    <cellStyle name="20% - Accent6 8 2 3" xfId="16660"/>
    <cellStyle name="20% - Accent6 8 2 4" xfId="16661"/>
    <cellStyle name="20% - Accent6 8 3" xfId="16662"/>
    <cellStyle name="20% - Accent6 8 4" xfId="16663"/>
    <cellStyle name="20% - Accent6 8 5" xfId="16664"/>
    <cellStyle name="20% - Accent6 8 6" xfId="16665"/>
    <cellStyle name="20% - Accent6 8 7" xfId="16666"/>
    <cellStyle name="20% - Accent6 8 8" xfId="16667"/>
    <cellStyle name="20% - Accent6 9" xfId="16668"/>
    <cellStyle name="20% - Accent6 9 2" xfId="16669"/>
    <cellStyle name="20% - Accent6 9 3" xfId="16670"/>
    <cellStyle name="20% - Accent6 9 4" xfId="16671"/>
    <cellStyle name="20% - Accent6 9 5" xfId="16672"/>
    <cellStyle name="20% - Accent6 9 6" xfId="16673"/>
    <cellStyle name="40% - Accent1 10" xfId="16674"/>
    <cellStyle name="40% - Accent1 10 2" xfId="16675"/>
    <cellStyle name="40% - Accent1 10 3" xfId="16676"/>
    <cellStyle name="40% - Accent1 10 4" xfId="16677"/>
    <cellStyle name="40% - Accent1 10 5" xfId="16678"/>
    <cellStyle name="40% - Accent1 11" xfId="16679"/>
    <cellStyle name="40% - Accent1 11 2" xfId="16680"/>
    <cellStyle name="40% - Accent1 11 3" xfId="16681"/>
    <cellStyle name="40% - Accent1 12" xfId="16682"/>
    <cellStyle name="40% - Accent1 13" xfId="16683"/>
    <cellStyle name="40% - Accent1 13 2" xfId="16684"/>
    <cellStyle name="40% - Accent1 13 3" xfId="16685"/>
    <cellStyle name="40% - Accent1 14" xfId="16686"/>
    <cellStyle name="40% - Accent1 15" xfId="40123"/>
    <cellStyle name="40% - Accent1 16" xfId="40124"/>
    <cellStyle name="40% - Accent1 17" xfId="40125"/>
    <cellStyle name="40% - Accent1 2" xfId="284"/>
    <cellStyle name="40% - Accent1 2 10" xfId="16687"/>
    <cellStyle name="40% - Accent1 2 11" xfId="16688"/>
    <cellStyle name="40% - Accent1 2 12" xfId="16689"/>
    <cellStyle name="40% - Accent1 2 2" xfId="285"/>
    <cellStyle name="40% - Accent1 2 2 2" xfId="286"/>
    <cellStyle name="40% - Accent1 2 2 2 2" xfId="287"/>
    <cellStyle name="40% - Accent1 2 2 2 2 2" xfId="16690"/>
    <cellStyle name="40% - Accent1 2 2 2 2 2 2" xfId="16691"/>
    <cellStyle name="40% - Accent1 2 2 2 2 2 3" xfId="16692"/>
    <cellStyle name="40% - Accent1 2 2 2 2 2 4" xfId="16693"/>
    <cellStyle name="40% - Accent1 2 2 2 2 3" xfId="16694"/>
    <cellStyle name="40% - Accent1 2 2 2 2 4" xfId="16695"/>
    <cellStyle name="40% - Accent1 2 2 2 2 5" xfId="16696"/>
    <cellStyle name="40% - Accent1 2 2 2 3" xfId="288"/>
    <cellStyle name="40% - Accent1 2 2 2 3 2" xfId="16697"/>
    <cellStyle name="40% - Accent1 2 2 2 3 2 2" xfId="16698"/>
    <cellStyle name="40% - Accent1 2 2 2 3 2 3" xfId="16699"/>
    <cellStyle name="40% - Accent1 2 2 2 3 2 4" xfId="16700"/>
    <cellStyle name="40% - Accent1 2 2 2 3 3" xfId="16701"/>
    <cellStyle name="40% - Accent1 2 2 2 3 4" xfId="16702"/>
    <cellStyle name="40% - Accent1 2 2 2 3 5" xfId="16703"/>
    <cellStyle name="40% - Accent1 2 2 2 4" xfId="16704"/>
    <cellStyle name="40% - Accent1 2 2 2 4 2" xfId="16705"/>
    <cellStyle name="40% - Accent1 2 2 2 4 3" xfId="16706"/>
    <cellStyle name="40% - Accent1 2 2 2 4 4" xfId="16707"/>
    <cellStyle name="40% - Accent1 2 2 2 5" xfId="16708"/>
    <cellStyle name="40% - Accent1 2 2 2 6" xfId="16709"/>
    <cellStyle name="40% - Accent1 2 2 2 7" xfId="16710"/>
    <cellStyle name="40% - Accent1 2 2 3" xfId="289"/>
    <cellStyle name="40% - Accent1 2 2 3 2" xfId="16711"/>
    <cellStyle name="40% - Accent1 2 2 3 2 2" xfId="16712"/>
    <cellStyle name="40% - Accent1 2 2 3 2 3" xfId="16713"/>
    <cellStyle name="40% - Accent1 2 2 3 2 4" xfId="16714"/>
    <cellStyle name="40% - Accent1 2 2 3 3" xfId="16715"/>
    <cellStyle name="40% - Accent1 2 2 3 4" xfId="16716"/>
    <cellStyle name="40% - Accent1 2 2 3 5" xfId="16717"/>
    <cellStyle name="40% - Accent1 2 2 4" xfId="290"/>
    <cellStyle name="40% - Accent1 2 2 4 2" xfId="16718"/>
    <cellStyle name="40% - Accent1 2 2 4 2 2" xfId="16719"/>
    <cellStyle name="40% - Accent1 2 2 4 2 3" xfId="16720"/>
    <cellStyle name="40% - Accent1 2 2 4 2 4" xfId="16721"/>
    <cellStyle name="40% - Accent1 2 2 4 3" xfId="16722"/>
    <cellStyle name="40% - Accent1 2 2 4 4" xfId="16723"/>
    <cellStyle name="40% - Accent1 2 2 4 5" xfId="16724"/>
    <cellStyle name="40% - Accent1 2 2 5" xfId="16725"/>
    <cellStyle name="40% - Accent1 2 2 5 2" xfId="16726"/>
    <cellStyle name="40% - Accent1 2 2 5 3" xfId="16727"/>
    <cellStyle name="40% - Accent1 2 2 5 4" xfId="16728"/>
    <cellStyle name="40% - Accent1 2 2 6" xfId="16729"/>
    <cellStyle name="40% - Accent1 2 2 7" xfId="16730"/>
    <cellStyle name="40% - Accent1 2 2 8" xfId="16731"/>
    <cellStyle name="40% - Accent1 2 2 9" xfId="16732"/>
    <cellStyle name="40% - Accent1 2 3" xfId="291"/>
    <cellStyle name="40% - Accent1 2 3 2" xfId="292"/>
    <cellStyle name="40% - Accent1 2 3 2 2" xfId="16733"/>
    <cellStyle name="40% - Accent1 2 3 2 2 2" xfId="16734"/>
    <cellStyle name="40% - Accent1 2 3 2 2 3" xfId="16735"/>
    <cellStyle name="40% - Accent1 2 3 2 2 4" xfId="16736"/>
    <cellStyle name="40% - Accent1 2 3 2 3" xfId="16737"/>
    <cellStyle name="40% - Accent1 2 3 2 4" xfId="16738"/>
    <cellStyle name="40% - Accent1 2 3 2 5" xfId="16739"/>
    <cellStyle name="40% - Accent1 2 3 3" xfId="293"/>
    <cellStyle name="40% - Accent1 2 3 3 2" xfId="16740"/>
    <cellStyle name="40% - Accent1 2 3 3 2 2" xfId="16741"/>
    <cellStyle name="40% - Accent1 2 3 3 2 3" xfId="16742"/>
    <cellStyle name="40% - Accent1 2 3 3 2 4" xfId="16743"/>
    <cellStyle name="40% - Accent1 2 3 3 3" xfId="16744"/>
    <cellStyle name="40% - Accent1 2 3 3 4" xfId="16745"/>
    <cellStyle name="40% - Accent1 2 3 3 5" xfId="16746"/>
    <cellStyle name="40% - Accent1 2 3 4" xfId="16747"/>
    <cellStyle name="40% - Accent1 2 3 4 2" xfId="16748"/>
    <cellStyle name="40% - Accent1 2 3 4 3" xfId="16749"/>
    <cellStyle name="40% - Accent1 2 3 4 4" xfId="16750"/>
    <cellStyle name="40% - Accent1 2 3 5" xfId="16751"/>
    <cellStyle name="40% - Accent1 2 3 6" xfId="16752"/>
    <cellStyle name="40% - Accent1 2 3 7" xfId="16753"/>
    <cellStyle name="40% - Accent1 2 3 8" xfId="16754"/>
    <cellStyle name="40% - Accent1 2 4" xfId="294"/>
    <cellStyle name="40% - Accent1 2 4 2" xfId="16755"/>
    <cellStyle name="40% - Accent1 2 4 2 2" xfId="16756"/>
    <cellStyle name="40% - Accent1 2 4 2 3" xfId="16757"/>
    <cellStyle name="40% - Accent1 2 4 2 4" xfId="16758"/>
    <cellStyle name="40% - Accent1 2 4 3" xfId="16759"/>
    <cellStyle name="40% - Accent1 2 4 4" xfId="16760"/>
    <cellStyle name="40% - Accent1 2 4 5" xfId="16761"/>
    <cellStyle name="40% - Accent1 2 4 6" xfId="16762"/>
    <cellStyle name="40% - Accent1 2 5" xfId="295"/>
    <cellStyle name="40% - Accent1 2 5 2" xfId="16763"/>
    <cellStyle name="40% - Accent1 2 5 2 2" xfId="16764"/>
    <cellStyle name="40% - Accent1 2 5 2 3" xfId="16765"/>
    <cellStyle name="40% - Accent1 2 5 2 4" xfId="16766"/>
    <cellStyle name="40% - Accent1 2 5 3" xfId="16767"/>
    <cellStyle name="40% - Accent1 2 5 4" xfId="16768"/>
    <cellStyle name="40% - Accent1 2 5 5" xfId="16769"/>
    <cellStyle name="40% - Accent1 2 5 6" xfId="16770"/>
    <cellStyle name="40% - Accent1 2 6" xfId="16771"/>
    <cellStyle name="40% - Accent1 2 6 2" xfId="16772"/>
    <cellStyle name="40% - Accent1 2 6 3" xfId="16773"/>
    <cellStyle name="40% - Accent1 2 6 4" xfId="16774"/>
    <cellStyle name="40% - Accent1 2 7" xfId="16775"/>
    <cellStyle name="40% - Accent1 2 8" xfId="16776"/>
    <cellStyle name="40% - Accent1 2 9" xfId="16777"/>
    <cellStyle name="40% - Accent1 3" xfId="296"/>
    <cellStyle name="40% - Accent1 3 10" xfId="16778"/>
    <cellStyle name="40% - Accent1 3 11" xfId="16779"/>
    <cellStyle name="40% - Accent1 3 2" xfId="297"/>
    <cellStyle name="40% - Accent1 3 2 2" xfId="298"/>
    <cellStyle name="40% - Accent1 3 2 2 2" xfId="299"/>
    <cellStyle name="40% - Accent1 3 2 2 2 2" xfId="16780"/>
    <cellStyle name="40% - Accent1 3 2 2 2 2 2" xfId="16781"/>
    <cellStyle name="40% - Accent1 3 2 2 2 2 3" xfId="16782"/>
    <cellStyle name="40% - Accent1 3 2 2 2 2 4" xfId="16783"/>
    <cellStyle name="40% - Accent1 3 2 2 2 3" xfId="16784"/>
    <cellStyle name="40% - Accent1 3 2 2 2 4" xfId="16785"/>
    <cellStyle name="40% - Accent1 3 2 2 2 5" xfId="16786"/>
    <cellStyle name="40% - Accent1 3 2 2 3" xfId="300"/>
    <cellStyle name="40% - Accent1 3 2 2 3 2" xfId="16787"/>
    <cellStyle name="40% - Accent1 3 2 2 3 2 2" xfId="16788"/>
    <cellStyle name="40% - Accent1 3 2 2 3 2 3" xfId="16789"/>
    <cellStyle name="40% - Accent1 3 2 2 3 2 4" xfId="16790"/>
    <cellStyle name="40% - Accent1 3 2 2 3 3" xfId="16791"/>
    <cellStyle name="40% - Accent1 3 2 2 3 4" xfId="16792"/>
    <cellStyle name="40% - Accent1 3 2 2 3 5" xfId="16793"/>
    <cellStyle name="40% - Accent1 3 2 2 4" xfId="16794"/>
    <cellStyle name="40% - Accent1 3 2 2 4 2" xfId="16795"/>
    <cellStyle name="40% - Accent1 3 2 2 4 3" xfId="16796"/>
    <cellStyle name="40% - Accent1 3 2 2 4 4" xfId="16797"/>
    <cellStyle name="40% - Accent1 3 2 2 5" xfId="16798"/>
    <cellStyle name="40% - Accent1 3 2 2 6" xfId="16799"/>
    <cellStyle name="40% - Accent1 3 2 2 7" xfId="16800"/>
    <cellStyle name="40% - Accent1 3 2 3" xfId="301"/>
    <cellStyle name="40% - Accent1 3 2 3 2" xfId="16801"/>
    <cellStyle name="40% - Accent1 3 2 3 2 2" xfId="16802"/>
    <cellStyle name="40% - Accent1 3 2 3 2 3" xfId="16803"/>
    <cellStyle name="40% - Accent1 3 2 3 2 4" xfId="16804"/>
    <cellStyle name="40% - Accent1 3 2 3 3" xfId="16805"/>
    <cellStyle name="40% - Accent1 3 2 3 4" xfId="16806"/>
    <cellStyle name="40% - Accent1 3 2 3 5" xfId="16807"/>
    <cellStyle name="40% - Accent1 3 2 4" xfId="302"/>
    <cellStyle name="40% - Accent1 3 2 4 2" xfId="16808"/>
    <cellStyle name="40% - Accent1 3 2 4 2 2" xfId="16809"/>
    <cellStyle name="40% - Accent1 3 2 4 2 3" xfId="16810"/>
    <cellStyle name="40% - Accent1 3 2 4 2 4" xfId="16811"/>
    <cellStyle name="40% - Accent1 3 2 4 3" xfId="16812"/>
    <cellStyle name="40% - Accent1 3 2 4 4" xfId="16813"/>
    <cellStyle name="40% - Accent1 3 2 4 5" xfId="16814"/>
    <cellStyle name="40% - Accent1 3 2 5" xfId="16815"/>
    <cellStyle name="40% - Accent1 3 2 5 2" xfId="16816"/>
    <cellStyle name="40% - Accent1 3 2 5 3" xfId="16817"/>
    <cellStyle name="40% - Accent1 3 2 5 4" xfId="16818"/>
    <cellStyle name="40% - Accent1 3 2 6" xfId="16819"/>
    <cellStyle name="40% - Accent1 3 2 7" xfId="16820"/>
    <cellStyle name="40% - Accent1 3 2 8" xfId="16821"/>
    <cellStyle name="40% - Accent1 3 3" xfId="303"/>
    <cellStyle name="40% - Accent1 3 3 2" xfId="304"/>
    <cellStyle name="40% - Accent1 3 3 2 2" xfId="16822"/>
    <cellStyle name="40% - Accent1 3 3 2 2 2" xfId="16823"/>
    <cellStyle name="40% - Accent1 3 3 2 2 3" xfId="16824"/>
    <cellStyle name="40% - Accent1 3 3 2 2 4" xfId="16825"/>
    <cellStyle name="40% - Accent1 3 3 2 3" xfId="16826"/>
    <cellStyle name="40% - Accent1 3 3 2 4" xfId="16827"/>
    <cellStyle name="40% - Accent1 3 3 2 5" xfId="16828"/>
    <cellStyle name="40% - Accent1 3 3 3" xfId="305"/>
    <cellStyle name="40% - Accent1 3 3 3 2" xfId="16829"/>
    <cellStyle name="40% - Accent1 3 3 3 2 2" xfId="16830"/>
    <cellStyle name="40% - Accent1 3 3 3 2 3" xfId="16831"/>
    <cellStyle name="40% - Accent1 3 3 3 2 4" xfId="16832"/>
    <cellStyle name="40% - Accent1 3 3 3 3" xfId="16833"/>
    <cellStyle name="40% - Accent1 3 3 3 4" xfId="16834"/>
    <cellStyle name="40% - Accent1 3 3 3 5" xfId="16835"/>
    <cellStyle name="40% - Accent1 3 3 4" xfId="16836"/>
    <cellStyle name="40% - Accent1 3 3 4 2" xfId="16837"/>
    <cellStyle name="40% - Accent1 3 3 4 3" xfId="16838"/>
    <cellStyle name="40% - Accent1 3 3 4 4" xfId="16839"/>
    <cellStyle name="40% - Accent1 3 3 5" xfId="16840"/>
    <cellStyle name="40% - Accent1 3 3 6" xfId="16841"/>
    <cellStyle name="40% - Accent1 3 3 7" xfId="16842"/>
    <cellStyle name="40% - Accent1 3 4" xfId="306"/>
    <cellStyle name="40% - Accent1 3 4 2" xfId="16843"/>
    <cellStyle name="40% - Accent1 3 4 2 2" xfId="16844"/>
    <cellStyle name="40% - Accent1 3 4 2 3" xfId="16845"/>
    <cellStyle name="40% - Accent1 3 4 2 4" xfId="16846"/>
    <cellStyle name="40% - Accent1 3 4 3" xfId="16847"/>
    <cellStyle name="40% - Accent1 3 4 4" xfId="16848"/>
    <cellStyle name="40% - Accent1 3 4 5" xfId="16849"/>
    <cellStyle name="40% - Accent1 3 5" xfId="307"/>
    <cellStyle name="40% - Accent1 3 5 2" xfId="16850"/>
    <cellStyle name="40% - Accent1 3 5 2 2" xfId="16851"/>
    <cellStyle name="40% - Accent1 3 5 2 3" xfId="16852"/>
    <cellStyle name="40% - Accent1 3 5 2 4" xfId="16853"/>
    <cellStyle name="40% - Accent1 3 5 3" xfId="16854"/>
    <cellStyle name="40% - Accent1 3 5 4" xfId="16855"/>
    <cellStyle name="40% - Accent1 3 5 5" xfId="16856"/>
    <cellStyle name="40% - Accent1 3 6" xfId="16857"/>
    <cellStyle name="40% - Accent1 3 6 2" xfId="16858"/>
    <cellStyle name="40% - Accent1 3 6 3" xfId="16859"/>
    <cellStyle name="40% - Accent1 3 6 4" xfId="16860"/>
    <cellStyle name="40% - Accent1 3 7" xfId="16861"/>
    <cellStyle name="40% - Accent1 3 8" xfId="16862"/>
    <cellStyle name="40% - Accent1 3 9" xfId="16863"/>
    <cellStyle name="40% - Accent1 4" xfId="308"/>
    <cellStyle name="40% - Accent1 4 10" xfId="16864"/>
    <cellStyle name="40% - Accent1 4 11" xfId="16865"/>
    <cellStyle name="40% - Accent1 4 2" xfId="309"/>
    <cellStyle name="40% - Accent1 4 2 2" xfId="310"/>
    <cellStyle name="40% - Accent1 4 2 2 2" xfId="311"/>
    <cellStyle name="40% - Accent1 4 2 2 2 2" xfId="16866"/>
    <cellStyle name="40% - Accent1 4 2 2 2 2 2" xfId="16867"/>
    <cellStyle name="40% - Accent1 4 2 2 2 2 3" xfId="16868"/>
    <cellStyle name="40% - Accent1 4 2 2 2 2 4" xfId="16869"/>
    <cellStyle name="40% - Accent1 4 2 2 2 3" xfId="16870"/>
    <cellStyle name="40% - Accent1 4 2 2 2 4" xfId="16871"/>
    <cellStyle name="40% - Accent1 4 2 2 2 5" xfId="16872"/>
    <cellStyle name="40% - Accent1 4 2 2 3" xfId="312"/>
    <cellStyle name="40% - Accent1 4 2 2 3 2" xfId="16873"/>
    <cellStyle name="40% - Accent1 4 2 2 3 2 2" xfId="16874"/>
    <cellStyle name="40% - Accent1 4 2 2 3 2 3" xfId="16875"/>
    <cellStyle name="40% - Accent1 4 2 2 3 2 4" xfId="16876"/>
    <cellStyle name="40% - Accent1 4 2 2 3 3" xfId="16877"/>
    <cellStyle name="40% - Accent1 4 2 2 3 4" xfId="16878"/>
    <cellStyle name="40% - Accent1 4 2 2 3 5" xfId="16879"/>
    <cellStyle name="40% - Accent1 4 2 2 4" xfId="16880"/>
    <cellStyle name="40% - Accent1 4 2 2 4 2" xfId="16881"/>
    <cellStyle name="40% - Accent1 4 2 2 4 3" xfId="16882"/>
    <cellStyle name="40% - Accent1 4 2 2 4 4" xfId="16883"/>
    <cellStyle name="40% - Accent1 4 2 2 5" xfId="16884"/>
    <cellStyle name="40% - Accent1 4 2 2 6" xfId="16885"/>
    <cellStyle name="40% - Accent1 4 2 2 7" xfId="16886"/>
    <cellStyle name="40% - Accent1 4 2 3" xfId="313"/>
    <cellStyle name="40% - Accent1 4 2 3 2" xfId="16887"/>
    <cellStyle name="40% - Accent1 4 2 3 2 2" xfId="16888"/>
    <cellStyle name="40% - Accent1 4 2 3 2 3" xfId="16889"/>
    <cellStyle name="40% - Accent1 4 2 3 2 4" xfId="16890"/>
    <cellStyle name="40% - Accent1 4 2 3 3" xfId="16891"/>
    <cellStyle name="40% - Accent1 4 2 3 4" xfId="16892"/>
    <cellStyle name="40% - Accent1 4 2 3 5" xfId="16893"/>
    <cellStyle name="40% - Accent1 4 2 4" xfId="314"/>
    <cellStyle name="40% - Accent1 4 2 4 2" xfId="16894"/>
    <cellStyle name="40% - Accent1 4 2 4 2 2" xfId="16895"/>
    <cellStyle name="40% - Accent1 4 2 4 2 3" xfId="16896"/>
    <cellStyle name="40% - Accent1 4 2 4 2 4" xfId="16897"/>
    <cellStyle name="40% - Accent1 4 2 4 3" xfId="16898"/>
    <cellStyle name="40% - Accent1 4 2 4 4" xfId="16899"/>
    <cellStyle name="40% - Accent1 4 2 4 5" xfId="16900"/>
    <cellStyle name="40% - Accent1 4 2 5" xfId="16901"/>
    <cellStyle name="40% - Accent1 4 2 5 2" xfId="16902"/>
    <cellStyle name="40% - Accent1 4 2 5 3" xfId="16903"/>
    <cellStyle name="40% - Accent1 4 2 5 4" xfId="16904"/>
    <cellStyle name="40% - Accent1 4 2 6" xfId="16905"/>
    <cellStyle name="40% - Accent1 4 2 7" xfId="16906"/>
    <cellStyle name="40% - Accent1 4 2 8" xfId="16907"/>
    <cellStyle name="40% - Accent1 4 3" xfId="315"/>
    <cellStyle name="40% - Accent1 4 3 2" xfId="316"/>
    <cellStyle name="40% - Accent1 4 3 2 2" xfId="16908"/>
    <cellStyle name="40% - Accent1 4 3 2 2 2" xfId="16909"/>
    <cellStyle name="40% - Accent1 4 3 2 2 3" xfId="16910"/>
    <cellStyle name="40% - Accent1 4 3 2 2 4" xfId="16911"/>
    <cellStyle name="40% - Accent1 4 3 2 3" xfId="16912"/>
    <cellStyle name="40% - Accent1 4 3 2 4" xfId="16913"/>
    <cellStyle name="40% - Accent1 4 3 2 5" xfId="16914"/>
    <cellStyle name="40% - Accent1 4 3 3" xfId="317"/>
    <cellStyle name="40% - Accent1 4 3 3 2" xfId="16915"/>
    <cellStyle name="40% - Accent1 4 3 3 2 2" xfId="16916"/>
    <cellStyle name="40% - Accent1 4 3 3 2 3" xfId="16917"/>
    <cellStyle name="40% - Accent1 4 3 3 2 4" xfId="16918"/>
    <cellStyle name="40% - Accent1 4 3 3 3" xfId="16919"/>
    <cellStyle name="40% - Accent1 4 3 3 4" xfId="16920"/>
    <cellStyle name="40% - Accent1 4 3 3 5" xfId="16921"/>
    <cellStyle name="40% - Accent1 4 3 4" xfId="16922"/>
    <cellStyle name="40% - Accent1 4 3 4 2" xfId="16923"/>
    <cellStyle name="40% - Accent1 4 3 4 3" xfId="16924"/>
    <cellStyle name="40% - Accent1 4 3 4 4" xfId="16925"/>
    <cellStyle name="40% - Accent1 4 3 5" xfId="16926"/>
    <cellStyle name="40% - Accent1 4 3 6" xfId="16927"/>
    <cellStyle name="40% - Accent1 4 3 7" xfId="16928"/>
    <cellStyle name="40% - Accent1 4 4" xfId="318"/>
    <cellStyle name="40% - Accent1 4 4 2" xfId="16929"/>
    <cellStyle name="40% - Accent1 4 4 2 2" xfId="16930"/>
    <cellStyle name="40% - Accent1 4 4 2 3" xfId="16931"/>
    <cellStyle name="40% - Accent1 4 4 2 4" xfId="16932"/>
    <cellStyle name="40% - Accent1 4 4 3" xfId="16933"/>
    <cellStyle name="40% - Accent1 4 4 4" xfId="16934"/>
    <cellStyle name="40% - Accent1 4 4 5" xfId="16935"/>
    <cellStyle name="40% - Accent1 4 5" xfId="319"/>
    <cellStyle name="40% - Accent1 4 5 2" xfId="16936"/>
    <cellStyle name="40% - Accent1 4 5 2 2" xfId="16937"/>
    <cellStyle name="40% - Accent1 4 5 2 3" xfId="16938"/>
    <cellStyle name="40% - Accent1 4 5 2 4" xfId="16939"/>
    <cellStyle name="40% - Accent1 4 5 3" xfId="16940"/>
    <cellStyle name="40% - Accent1 4 5 4" xfId="16941"/>
    <cellStyle name="40% - Accent1 4 5 5" xfId="16942"/>
    <cellStyle name="40% - Accent1 4 6" xfId="16943"/>
    <cellStyle name="40% - Accent1 4 6 2" xfId="16944"/>
    <cellStyle name="40% - Accent1 4 6 3" xfId="16945"/>
    <cellStyle name="40% - Accent1 4 6 4" xfId="16946"/>
    <cellStyle name="40% - Accent1 4 7" xfId="16947"/>
    <cellStyle name="40% - Accent1 4 8" xfId="16948"/>
    <cellStyle name="40% - Accent1 4 9" xfId="16949"/>
    <cellStyle name="40% - Accent1 5" xfId="320"/>
    <cellStyle name="40% - Accent1 5 10" xfId="16950"/>
    <cellStyle name="40% - Accent1 5 2" xfId="321"/>
    <cellStyle name="40% - Accent1 5 2 2" xfId="322"/>
    <cellStyle name="40% - Accent1 5 2 2 2" xfId="16951"/>
    <cellStyle name="40% - Accent1 5 2 2 2 2" xfId="16952"/>
    <cellStyle name="40% - Accent1 5 2 2 2 3" xfId="16953"/>
    <cellStyle name="40% - Accent1 5 2 2 2 4" xfId="16954"/>
    <cellStyle name="40% - Accent1 5 2 2 3" xfId="16955"/>
    <cellStyle name="40% - Accent1 5 2 2 4" xfId="16956"/>
    <cellStyle name="40% - Accent1 5 2 2 5" xfId="16957"/>
    <cellStyle name="40% - Accent1 5 2 3" xfId="323"/>
    <cellStyle name="40% - Accent1 5 2 3 2" xfId="16958"/>
    <cellStyle name="40% - Accent1 5 2 3 2 2" xfId="16959"/>
    <cellStyle name="40% - Accent1 5 2 3 2 3" xfId="16960"/>
    <cellStyle name="40% - Accent1 5 2 3 2 4" xfId="16961"/>
    <cellStyle name="40% - Accent1 5 2 3 3" xfId="16962"/>
    <cellStyle name="40% - Accent1 5 2 3 4" xfId="16963"/>
    <cellStyle name="40% - Accent1 5 2 3 5" xfId="16964"/>
    <cellStyle name="40% - Accent1 5 2 4" xfId="16965"/>
    <cellStyle name="40% - Accent1 5 2 4 2" xfId="16966"/>
    <cellStyle name="40% - Accent1 5 2 4 3" xfId="16967"/>
    <cellStyle name="40% - Accent1 5 2 4 4" xfId="16968"/>
    <cellStyle name="40% - Accent1 5 2 5" xfId="16969"/>
    <cellStyle name="40% - Accent1 5 2 6" xfId="16970"/>
    <cellStyle name="40% - Accent1 5 2 7" xfId="16971"/>
    <cellStyle name="40% - Accent1 5 3" xfId="324"/>
    <cellStyle name="40% - Accent1 5 3 2" xfId="16972"/>
    <cellStyle name="40% - Accent1 5 3 2 2" xfId="16973"/>
    <cellStyle name="40% - Accent1 5 3 2 3" xfId="16974"/>
    <cellStyle name="40% - Accent1 5 3 2 4" xfId="16975"/>
    <cellStyle name="40% - Accent1 5 3 3" xfId="16976"/>
    <cellStyle name="40% - Accent1 5 3 4" xfId="16977"/>
    <cellStyle name="40% - Accent1 5 3 5" xfId="16978"/>
    <cellStyle name="40% - Accent1 5 4" xfId="325"/>
    <cellStyle name="40% - Accent1 5 4 2" xfId="16979"/>
    <cellStyle name="40% - Accent1 5 4 2 2" xfId="16980"/>
    <cellStyle name="40% - Accent1 5 4 2 3" xfId="16981"/>
    <cellStyle name="40% - Accent1 5 4 2 4" xfId="16982"/>
    <cellStyle name="40% - Accent1 5 4 3" xfId="16983"/>
    <cellStyle name="40% - Accent1 5 4 4" xfId="16984"/>
    <cellStyle name="40% - Accent1 5 4 5" xfId="16985"/>
    <cellStyle name="40% - Accent1 5 5" xfId="16986"/>
    <cellStyle name="40% - Accent1 5 5 2" xfId="16987"/>
    <cellStyle name="40% - Accent1 5 5 3" xfId="16988"/>
    <cellStyle name="40% - Accent1 5 5 4" xfId="16989"/>
    <cellStyle name="40% - Accent1 5 6" xfId="16990"/>
    <cellStyle name="40% - Accent1 5 7" xfId="16991"/>
    <cellStyle name="40% - Accent1 5 8" xfId="16992"/>
    <cellStyle name="40% - Accent1 5 9" xfId="16993"/>
    <cellStyle name="40% - Accent1 6" xfId="326"/>
    <cellStyle name="40% - Accent1 6 2" xfId="327"/>
    <cellStyle name="40% - Accent1 6 2 2" xfId="16994"/>
    <cellStyle name="40% - Accent1 6 2 2 2" xfId="16995"/>
    <cellStyle name="40% - Accent1 6 2 2 3" xfId="16996"/>
    <cellStyle name="40% - Accent1 6 2 2 4" xfId="16997"/>
    <cellStyle name="40% - Accent1 6 2 3" xfId="16998"/>
    <cellStyle name="40% - Accent1 6 2 4" xfId="16999"/>
    <cellStyle name="40% - Accent1 6 2 5" xfId="17000"/>
    <cellStyle name="40% - Accent1 6 3" xfId="328"/>
    <cellStyle name="40% - Accent1 6 3 2" xfId="17001"/>
    <cellStyle name="40% - Accent1 6 3 2 2" xfId="17002"/>
    <cellStyle name="40% - Accent1 6 3 2 3" xfId="17003"/>
    <cellStyle name="40% - Accent1 6 3 2 4" xfId="17004"/>
    <cellStyle name="40% - Accent1 6 3 3" xfId="17005"/>
    <cellStyle name="40% - Accent1 6 3 4" xfId="17006"/>
    <cellStyle name="40% - Accent1 6 3 5" xfId="17007"/>
    <cellStyle name="40% - Accent1 6 4" xfId="17008"/>
    <cellStyle name="40% - Accent1 6 4 2" xfId="17009"/>
    <cellStyle name="40% - Accent1 6 4 3" xfId="17010"/>
    <cellStyle name="40% - Accent1 6 4 4" xfId="17011"/>
    <cellStyle name="40% - Accent1 6 5" xfId="17012"/>
    <cellStyle name="40% - Accent1 6 6" xfId="17013"/>
    <cellStyle name="40% - Accent1 6 7" xfId="17014"/>
    <cellStyle name="40% - Accent1 6 8" xfId="17015"/>
    <cellStyle name="40% - Accent1 6 9" xfId="17016"/>
    <cellStyle name="40% - Accent1 7" xfId="329"/>
    <cellStyle name="40% - Accent1 7 2" xfId="17017"/>
    <cellStyle name="40% - Accent1 7 2 2" xfId="17018"/>
    <cellStyle name="40% - Accent1 7 2 3" xfId="17019"/>
    <cellStyle name="40% - Accent1 7 2 4" xfId="17020"/>
    <cellStyle name="40% - Accent1 7 3" xfId="17021"/>
    <cellStyle name="40% - Accent1 7 4" xfId="17022"/>
    <cellStyle name="40% - Accent1 7 5" xfId="17023"/>
    <cellStyle name="40% - Accent1 7 6" xfId="17024"/>
    <cellStyle name="40% - Accent1 7 7" xfId="17025"/>
    <cellStyle name="40% - Accent1 7 8" xfId="17026"/>
    <cellStyle name="40% - Accent1 8" xfId="330"/>
    <cellStyle name="40% - Accent1 8 2" xfId="17027"/>
    <cellStyle name="40% - Accent1 8 2 2" xfId="17028"/>
    <cellStyle name="40% - Accent1 8 2 3" xfId="17029"/>
    <cellStyle name="40% - Accent1 8 2 4" xfId="17030"/>
    <cellStyle name="40% - Accent1 8 3" xfId="17031"/>
    <cellStyle name="40% - Accent1 8 4" xfId="17032"/>
    <cellStyle name="40% - Accent1 8 5" xfId="17033"/>
    <cellStyle name="40% - Accent1 8 6" xfId="17034"/>
    <cellStyle name="40% - Accent1 8 7" xfId="17035"/>
    <cellStyle name="40% - Accent1 8 8" xfId="17036"/>
    <cellStyle name="40% - Accent1 9" xfId="17037"/>
    <cellStyle name="40% - Accent1 9 2" xfId="17038"/>
    <cellStyle name="40% - Accent1 9 3" xfId="17039"/>
    <cellStyle name="40% - Accent1 9 4" xfId="17040"/>
    <cellStyle name="40% - Accent1 9 5" xfId="17041"/>
    <cellStyle name="40% - Accent1 9 6" xfId="17042"/>
    <cellStyle name="40% - Accent2 10" xfId="17043"/>
    <cellStyle name="40% - Accent2 10 2" xfId="17044"/>
    <cellStyle name="40% - Accent2 10 3" xfId="17045"/>
    <cellStyle name="40% - Accent2 10 4" xfId="17046"/>
    <cellStyle name="40% - Accent2 10 5" xfId="17047"/>
    <cellStyle name="40% - Accent2 11" xfId="17048"/>
    <cellStyle name="40% - Accent2 11 2" xfId="17049"/>
    <cellStyle name="40% - Accent2 11 3" xfId="17050"/>
    <cellStyle name="40% - Accent2 12" xfId="17051"/>
    <cellStyle name="40% - Accent2 13" xfId="17052"/>
    <cellStyle name="40% - Accent2 13 2" xfId="17053"/>
    <cellStyle name="40% - Accent2 13 3" xfId="17054"/>
    <cellStyle name="40% - Accent2 14" xfId="17055"/>
    <cellStyle name="40% - Accent2 15" xfId="40126"/>
    <cellStyle name="40% - Accent2 16" xfId="40127"/>
    <cellStyle name="40% - Accent2 17" xfId="40128"/>
    <cellStyle name="40% - Accent2 2" xfId="331"/>
    <cellStyle name="40% - Accent2 2 10" xfId="17056"/>
    <cellStyle name="40% - Accent2 2 11" xfId="17057"/>
    <cellStyle name="40% - Accent2 2 12" xfId="17058"/>
    <cellStyle name="40% - Accent2 2 2" xfId="332"/>
    <cellStyle name="40% - Accent2 2 2 2" xfId="333"/>
    <cellStyle name="40% - Accent2 2 2 2 2" xfId="334"/>
    <cellStyle name="40% - Accent2 2 2 2 2 2" xfId="17059"/>
    <cellStyle name="40% - Accent2 2 2 2 2 2 2" xfId="17060"/>
    <cellStyle name="40% - Accent2 2 2 2 2 2 3" xfId="17061"/>
    <cellStyle name="40% - Accent2 2 2 2 2 2 4" xfId="17062"/>
    <cellStyle name="40% - Accent2 2 2 2 2 3" xfId="17063"/>
    <cellStyle name="40% - Accent2 2 2 2 2 4" xfId="17064"/>
    <cellStyle name="40% - Accent2 2 2 2 2 5" xfId="17065"/>
    <cellStyle name="40% - Accent2 2 2 2 3" xfId="335"/>
    <cellStyle name="40% - Accent2 2 2 2 3 2" xfId="17066"/>
    <cellStyle name="40% - Accent2 2 2 2 3 2 2" xfId="17067"/>
    <cellStyle name="40% - Accent2 2 2 2 3 2 3" xfId="17068"/>
    <cellStyle name="40% - Accent2 2 2 2 3 2 4" xfId="17069"/>
    <cellStyle name="40% - Accent2 2 2 2 3 3" xfId="17070"/>
    <cellStyle name="40% - Accent2 2 2 2 3 4" xfId="17071"/>
    <cellStyle name="40% - Accent2 2 2 2 3 5" xfId="17072"/>
    <cellStyle name="40% - Accent2 2 2 2 4" xfId="17073"/>
    <cellStyle name="40% - Accent2 2 2 2 4 2" xfId="17074"/>
    <cellStyle name="40% - Accent2 2 2 2 4 3" xfId="17075"/>
    <cellStyle name="40% - Accent2 2 2 2 4 4" xfId="17076"/>
    <cellStyle name="40% - Accent2 2 2 2 5" xfId="17077"/>
    <cellStyle name="40% - Accent2 2 2 2 6" xfId="17078"/>
    <cellStyle name="40% - Accent2 2 2 2 7" xfId="17079"/>
    <cellStyle name="40% - Accent2 2 2 3" xfId="336"/>
    <cellStyle name="40% - Accent2 2 2 3 2" xfId="17080"/>
    <cellStyle name="40% - Accent2 2 2 3 2 2" xfId="17081"/>
    <cellStyle name="40% - Accent2 2 2 3 2 3" xfId="17082"/>
    <cellStyle name="40% - Accent2 2 2 3 2 4" xfId="17083"/>
    <cellStyle name="40% - Accent2 2 2 3 3" xfId="17084"/>
    <cellStyle name="40% - Accent2 2 2 3 4" xfId="17085"/>
    <cellStyle name="40% - Accent2 2 2 3 5" xfId="17086"/>
    <cellStyle name="40% - Accent2 2 2 4" xfId="337"/>
    <cellStyle name="40% - Accent2 2 2 4 2" xfId="17087"/>
    <cellStyle name="40% - Accent2 2 2 4 2 2" xfId="17088"/>
    <cellStyle name="40% - Accent2 2 2 4 2 3" xfId="17089"/>
    <cellStyle name="40% - Accent2 2 2 4 2 4" xfId="17090"/>
    <cellStyle name="40% - Accent2 2 2 4 3" xfId="17091"/>
    <cellStyle name="40% - Accent2 2 2 4 4" xfId="17092"/>
    <cellStyle name="40% - Accent2 2 2 4 5" xfId="17093"/>
    <cellStyle name="40% - Accent2 2 2 5" xfId="17094"/>
    <cellStyle name="40% - Accent2 2 2 5 2" xfId="17095"/>
    <cellStyle name="40% - Accent2 2 2 5 3" xfId="17096"/>
    <cellStyle name="40% - Accent2 2 2 5 4" xfId="17097"/>
    <cellStyle name="40% - Accent2 2 2 6" xfId="17098"/>
    <cellStyle name="40% - Accent2 2 2 7" xfId="17099"/>
    <cellStyle name="40% - Accent2 2 2 8" xfId="17100"/>
    <cellStyle name="40% - Accent2 2 2 9" xfId="17101"/>
    <cellStyle name="40% - Accent2 2 3" xfId="338"/>
    <cellStyle name="40% - Accent2 2 3 2" xfId="339"/>
    <cellStyle name="40% - Accent2 2 3 2 2" xfId="17102"/>
    <cellStyle name="40% - Accent2 2 3 2 2 2" xfId="17103"/>
    <cellStyle name="40% - Accent2 2 3 2 2 3" xfId="17104"/>
    <cellStyle name="40% - Accent2 2 3 2 2 4" xfId="17105"/>
    <cellStyle name="40% - Accent2 2 3 2 3" xfId="17106"/>
    <cellStyle name="40% - Accent2 2 3 2 4" xfId="17107"/>
    <cellStyle name="40% - Accent2 2 3 2 5" xfId="17108"/>
    <cellStyle name="40% - Accent2 2 3 3" xfId="340"/>
    <cellStyle name="40% - Accent2 2 3 3 2" xfId="17109"/>
    <cellStyle name="40% - Accent2 2 3 3 2 2" xfId="17110"/>
    <cellStyle name="40% - Accent2 2 3 3 2 3" xfId="17111"/>
    <cellStyle name="40% - Accent2 2 3 3 2 4" xfId="17112"/>
    <cellStyle name="40% - Accent2 2 3 3 3" xfId="17113"/>
    <cellStyle name="40% - Accent2 2 3 3 4" xfId="17114"/>
    <cellStyle name="40% - Accent2 2 3 3 5" xfId="17115"/>
    <cellStyle name="40% - Accent2 2 3 4" xfId="17116"/>
    <cellStyle name="40% - Accent2 2 3 4 2" xfId="17117"/>
    <cellStyle name="40% - Accent2 2 3 4 3" xfId="17118"/>
    <cellStyle name="40% - Accent2 2 3 4 4" xfId="17119"/>
    <cellStyle name="40% - Accent2 2 3 5" xfId="17120"/>
    <cellStyle name="40% - Accent2 2 3 6" xfId="17121"/>
    <cellStyle name="40% - Accent2 2 3 7" xfId="17122"/>
    <cellStyle name="40% - Accent2 2 3 8" xfId="17123"/>
    <cellStyle name="40% - Accent2 2 4" xfId="341"/>
    <cellStyle name="40% - Accent2 2 4 2" xfId="17124"/>
    <cellStyle name="40% - Accent2 2 4 2 2" xfId="17125"/>
    <cellStyle name="40% - Accent2 2 4 2 3" xfId="17126"/>
    <cellStyle name="40% - Accent2 2 4 2 4" xfId="17127"/>
    <cellStyle name="40% - Accent2 2 4 3" xfId="17128"/>
    <cellStyle name="40% - Accent2 2 4 4" xfId="17129"/>
    <cellStyle name="40% - Accent2 2 4 5" xfId="17130"/>
    <cellStyle name="40% - Accent2 2 4 6" xfId="17131"/>
    <cellStyle name="40% - Accent2 2 5" xfId="342"/>
    <cellStyle name="40% - Accent2 2 5 2" xfId="17132"/>
    <cellStyle name="40% - Accent2 2 5 2 2" xfId="17133"/>
    <cellStyle name="40% - Accent2 2 5 2 3" xfId="17134"/>
    <cellStyle name="40% - Accent2 2 5 2 4" xfId="17135"/>
    <cellStyle name="40% - Accent2 2 5 3" xfId="17136"/>
    <cellStyle name="40% - Accent2 2 5 4" xfId="17137"/>
    <cellStyle name="40% - Accent2 2 5 5" xfId="17138"/>
    <cellStyle name="40% - Accent2 2 5 6" xfId="17139"/>
    <cellStyle name="40% - Accent2 2 6" xfId="17140"/>
    <cellStyle name="40% - Accent2 2 6 2" xfId="17141"/>
    <cellStyle name="40% - Accent2 2 6 3" xfId="17142"/>
    <cellStyle name="40% - Accent2 2 6 4" xfId="17143"/>
    <cellStyle name="40% - Accent2 2 7" xfId="17144"/>
    <cellStyle name="40% - Accent2 2 8" xfId="17145"/>
    <cellStyle name="40% - Accent2 2 9" xfId="17146"/>
    <cellStyle name="40% - Accent2 3" xfId="343"/>
    <cellStyle name="40% - Accent2 3 10" xfId="17147"/>
    <cellStyle name="40% - Accent2 3 11" xfId="17148"/>
    <cellStyle name="40% - Accent2 3 2" xfId="344"/>
    <cellStyle name="40% - Accent2 3 2 2" xfId="345"/>
    <cellStyle name="40% - Accent2 3 2 2 2" xfId="346"/>
    <cellStyle name="40% - Accent2 3 2 2 2 2" xfId="17149"/>
    <cellStyle name="40% - Accent2 3 2 2 2 2 2" xfId="17150"/>
    <cellStyle name="40% - Accent2 3 2 2 2 2 3" xfId="17151"/>
    <cellStyle name="40% - Accent2 3 2 2 2 2 4" xfId="17152"/>
    <cellStyle name="40% - Accent2 3 2 2 2 3" xfId="17153"/>
    <cellStyle name="40% - Accent2 3 2 2 2 4" xfId="17154"/>
    <cellStyle name="40% - Accent2 3 2 2 2 5" xfId="17155"/>
    <cellStyle name="40% - Accent2 3 2 2 3" xfId="347"/>
    <cellStyle name="40% - Accent2 3 2 2 3 2" xfId="17156"/>
    <cellStyle name="40% - Accent2 3 2 2 3 2 2" xfId="17157"/>
    <cellStyle name="40% - Accent2 3 2 2 3 2 3" xfId="17158"/>
    <cellStyle name="40% - Accent2 3 2 2 3 2 4" xfId="17159"/>
    <cellStyle name="40% - Accent2 3 2 2 3 3" xfId="17160"/>
    <cellStyle name="40% - Accent2 3 2 2 3 4" xfId="17161"/>
    <cellStyle name="40% - Accent2 3 2 2 3 5" xfId="17162"/>
    <cellStyle name="40% - Accent2 3 2 2 4" xfId="17163"/>
    <cellStyle name="40% - Accent2 3 2 2 4 2" xfId="17164"/>
    <cellStyle name="40% - Accent2 3 2 2 4 3" xfId="17165"/>
    <cellStyle name="40% - Accent2 3 2 2 4 4" xfId="17166"/>
    <cellStyle name="40% - Accent2 3 2 2 5" xfId="17167"/>
    <cellStyle name="40% - Accent2 3 2 2 6" xfId="17168"/>
    <cellStyle name="40% - Accent2 3 2 2 7" xfId="17169"/>
    <cellStyle name="40% - Accent2 3 2 3" xfId="348"/>
    <cellStyle name="40% - Accent2 3 2 3 2" xfId="17170"/>
    <cellStyle name="40% - Accent2 3 2 3 2 2" xfId="17171"/>
    <cellStyle name="40% - Accent2 3 2 3 2 3" xfId="17172"/>
    <cellStyle name="40% - Accent2 3 2 3 2 4" xfId="17173"/>
    <cellStyle name="40% - Accent2 3 2 3 3" xfId="17174"/>
    <cellStyle name="40% - Accent2 3 2 3 4" xfId="17175"/>
    <cellStyle name="40% - Accent2 3 2 3 5" xfId="17176"/>
    <cellStyle name="40% - Accent2 3 2 4" xfId="349"/>
    <cellStyle name="40% - Accent2 3 2 4 2" xfId="17177"/>
    <cellStyle name="40% - Accent2 3 2 4 2 2" xfId="17178"/>
    <cellStyle name="40% - Accent2 3 2 4 2 3" xfId="17179"/>
    <cellStyle name="40% - Accent2 3 2 4 2 4" xfId="17180"/>
    <cellStyle name="40% - Accent2 3 2 4 3" xfId="17181"/>
    <cellStyle name="40% - Accent2 3 2 4 4" xfId="17182"/>
    <cellStyle name="40% - Accent2 3 2 4 5" xfId="17183"/>
    <cellStyle name="40% - Accent2 3 2 5" xfId="17184"/>
    <cellStyle name="40% - Accent2 3 2 5 2" xfId="17185"/>
    <cellStyle name="40% - Accent2 3 2 5 3" xfId="17186"/>
    <cellStyle name="40% - Accent2 3 2 5 4" xfId="17187"/>
    <cellStyle name="40% - Accent2 3 2 6" xfId="17188"/>
    <cellStyle name="40% - Accent2 3 2 7" xfId="17189"/>
    <cellStyle name="40% - Accent2 3 2 8" xfId="17190"/>
    <cellStyle name="40% - Accent2 3 3" xfId="350"/>
    <cellStyle name="40% - Accent2 3 3 2" xfId="351"/>
    <cellStyle name="40% - Accent2 3 3 2 2" xfId="17191"/>
    <cellStyle name="40% - Accent2 3 3 2 2 2" xfId="17192"/>
    <cellStyle name="40% - Accent2 3 3 2 2 3" xfId="17193"/>
    <cellStyle name="40% - Accent2 3 3 2 2 4" xfId="17194"/>
    <cellStyle name="40% - Accent2 3 3 2 3" xfId="17195"/>
    <cellStyle name="40% - Accent2 3 3 2 4" xfId="17196"/>
    <cellStyle name="40% - Accent2 3 3 2 5" xfId="17197"/>
    <cellStyle name="40% - Accent2 3 3 3" xfId="352"/>
    <cellStyle name="40% - Accent2 3 3 3 2" xfId="17198"/>
    <cellStyle name="40% - Accent2 3 3 3 2 2" xfId="17199"/>
    <cellStyle name="40% - Accent2 3 3 3 2 3" xfId="17200"/>
    <cellStyle name="40% - Accent2 3 3 3 2 4" xfId="17201"/>
    <cellStyle name="40% - Accent2 3 3 3 3" xfId="17202"/>
    <cellStyle name="40% - Accent2 3 3 3 4" xfId="17203"/>
    <cellStyle name="40% - Accent2 3 3 3 5" xfId="17204"/>
    <cellStyle name="40% - Accent2 3 3 4" xfId="17205"/>
    <cellStyle name="40% - Accent2 3 3 4 2" xfId="17206"/>
    <cellStyle name="40% - Accent2 3 3 4 3" xfId="17207"/>
    <cellStyle name="40% - Accent2 3 3 4 4" xfId="17208"/>
    <cellStyle name="40% - Accent2 3 3 5" xfId="17209"/>
    <cellStyle name="40% - Accent2 3 3 6" xfId="17210"/>
    <cellStyle name="40% - Accent2 3 3 7" xfId="17211"/>
    <cellStyle name="40% - Accent2 3 4" xfId="353"/>
    <cellStyle name="40% - Accent2 3 4 2" xfId="17212"/>
    <cellStyle name="40% - Accent2 3 4 2 2" xfId="17213"/>
    <cellStyle name="40% - Accent2 3 4 2 3" xfId="17214"/>
    <cellStyle name="40% - Accent2 3 4 2 4" xfId="17215"/>
    <cellStyle name="40% - Accent2 3 4 3" xfId="17216"/>
    <cellStyle name="40% - Accent2 3 4 4" xfId="17217"/>
    <cellStyle name="40% - Accent2 3 4 5" xfId="17218"/>
    <cellStyle name="40% - Accent2 3 5" xfId="354"/>
    <cellStyle name="40% - Accent2 3 5 2" xfId="17219"/>
    <cellStyle name="40% - Accent2 3 5 2 2" xfId="17220"/>
    <cellStyle name="40% - Accent2 3 5 2 3" xfId="17221"/>
    <cellStyle name="40% - Accent2 3 5 2 4" xfId="17222"/>
    <cellStyle name="40% - Accent2 3 5 3" xfId="17223"/>
    <cellStyle name="40% - Accent2 3 5 4" xfId="17224"/>
    <cellStyle name="40% - Accent2 3 5 5" xfId="17225"/>
    <cellStyle name="40% - Accent2 3 6" xfId="17226"/>
    <cellStyle name="40% - Accent2 3 6 2" xfId="17227"/>
    <cellStyle name="40% - Accent2 3 6 3" xfId="17228"/>
    <cellStyle name="40% - Accent2 3 6 4" xfId="17229"/>
    <cellStyle name="40% - Accent2 3 7" xfId="17230"/>
    <cellStyle name="40% - Accent2 3 8" xfId="17231"/>
    <cellStyle name="40% - Accent2 3 9" xfId="17232"/>
    <cellStyle name="40% - Accent2 4" xfId="355"/>
    <cellStyle name="40% - Accent2 4 10" xfId="17233"/>
    <cellStyle name="40% - Accent2 4 11" xfId="17234"/>
    <cellStyle name="40% - Accent2 4 2" xfId="356"/>
    <cellStyle name="40% - Accent2 4 2 2" xfId="357"/>
    <cellStyle name="40% - Accent2 4 2 2 2" xfId="358"/>
    <cellStyle name="40% - Accent2 4 2 2 2 2" xfId="17235"/>
    <cellStyle name="40% - Accent2 4 2 2 2 2 2" xfId="17236"/>
    <cellStyle name="40% - Accent2 4 2 2 2 2 3" xfId="17237"/>
    <cellStyle name="40% - Accent2 4 2 2 2 2 4" xfId="17238"/>
    <cellStyle name="40% - Accent2 4 2 2 2 3" xfId="17239"/>
    <cellStyle name="40% - Accent2 4 2 2 2 4" xfId="17240"/>
    <cellStyle name="40% - Accent2 4 2 2 2 5" xfId="17241"/>
    <cellStyle name="40% - Accent2 4 2 2 3" xfId="359"/>
    <cellStyle name="40% - Accent2 4 2 2 3 2" xfId="17242"/>
    <cellStyle name="40% - Accent2 4 2 2 3 2 2" xfId="17243"/>
    <cellStyle name="40% - Accent2 4 2 2 3 2 3" xfId="17244"/>
    <cellStyle name="40% - Accent2 4 2 2 3 2 4" xfId="17245"/>
    <cellStyle name="40% - Accent2 4 2 2 3 3" xfId="17246"/>
    <cellStyle name="40% - Accent2 4 2 2 3 4" xfId="17247"/>
    <cellStyle name="40% - Accent2 4 2 2 3 5" xfId="17248"/>
    <cellStyle name="40% - Accent2 4 2 2 4" xfId="17249"/>
    <cellStyle name="40% - Accent2 4 2 2 4 2" xfId="17250"/>
    <cellStyle name="40% - Accent2 4 2 2 4 3" xfId="17251"/>
    <cellStyle name="40% - Accent2 4 2 2 4 4" xfId="17252"/>
    <cellStyle name="40% - Accent2 4 2 2 5" xfId="17253"/>
    <cellStyle name="40% - Accent2 4 2 2 6" xfId="17254"/>
    <cellStyle name="40% - Accent2 4 2 2 7" xfId="17255"/>
    <cellStyle name="40% - Accent2 4 2 3" xfId="360"/>
    <cellStyle name="40% - Accent2 4 2 3 2" xfId="17256"/>
    <cellStyle name="40% - Accent2 4 2 3 2 2" xfId="17257"/>
    <cellStyle name="40% - Accent2 4 2 3 2 3" xfId="17258"/>
    <cellStyle name="40% - Accent2 4 2 3 2 4" xfId="17259"/>
    <cellStyle name="40% - Accent2 4 2 3 3" xfId="17260"/>
    <cellStyle name="40% - Accent2 4 2 3 4" xfId="17261"/>
    <cellStyle name="40% - Accent2 4 2 3 5" xfId="17262"/>
    <cellStyle name="40% - Accent2 4 2 4" xfId="361"/>
    <cellStyle name="40% - Accent2 4 2 4 2" xfId="17263"/>
    <cellStyle name="40% - Accent2 4 2 4 2 2" xfId="17264"/>
    <cellStyle name="40% - Accent2 4 2 4 2 3" xfId="17265"/>
    <cellStyle name="40% - Accent2 4 2 4 2 4" xfId="17266"/>
    <cellStyle name="40% - Accent2 4 2 4 3" xfId="17267"/>
    <cellStyle name="40% - Accent2 4 2 4 4" xfId="17268"/>
    <cellStyle name="40% - Accent2 4 2 4 5" xfId="17269"/>
    <cellStyle name="40% - Accent2 4 2 5" xfId="17270"/>
    <cellStyle name="40% - Accent2 4 2 5 2" xfId="17271"/>
    <cellStyle name="40% - Accent2 4 2 5 3" xfId="17272"/>
    <cellStyle name="40% - Accent2 4 2 5 4" xfId="17273"/>
    <cellStyle name="40% - Accent2 4 2 6" xfId="17274"/>
    <cellStyle name="40% - Accent2 4 2 7" xfId="17275"/>
    <cellStyle name="40% - Accent2 4 2 8" xfId="17276"/>
    <cellStyle name="40% - Accent2 4 3" xfId="362"/>
    <cellStyle name="40% - Accent2 4 3 2" xfId="363"/>
    <cellStyle name="40% - Accent2 4 3 2 2" xfId="17277"/>
    <cellStyle name="40% - Accent2 4 3 2 2 2" xfId="17278"/>
    <cellStyle name="40% - Accent2 4 3 2 2 3" xfId="17279"/>
    <cellStyle name="40% - Accent2 4 3 2 2 4" xfId="17280"/>
    <cellStyle name="40% - Accent2 4 3 2 3" xfId="17281"/>
    <cellStyle name="40% - Accent2 4 3 2 4" xfId="17282"/>
    <cellStyle name="40% - Accent2 4 3 2 5" xfId="17283"/>
    <cellStyle name="40% - Accent2 4 3 3" xfId="364"/>
    <cellStyle name="40% - Accent2 4 3 3 2" xfId="17284"/>
    <cellStyle name="40% - Accent2 4 3 3 2 2" xfId="17285"/>
    <cellStyle name="40% - Accent2 4 3 3 2 3" xfId="17286"/>
    <cellStyle name="40% - Accent2 4 3 3 2 4" xfId="17287"/>
    <cellStyle name="40% - Accent2 4 3 3 3" xfId="17288"/>
    <cellStyle name="40% - Accent2 4 3 3 4" xfId="17289"/>
    <cellStyle name="40% - Accent2 4 3 3 5" xfId="17290"/>
    <cellStyle name="40% - Accent2 4 3 4" xfId="17291"/>
    <cellStyle name="40% - Accent2 4 3 4 2" xfId="17292"/>
    <cellStyle name="40% - Accent2 4 3 4 3" xfId="17293"/>
    <cellStyle name="40% - Accent2 4 3 4 4" xfId="17294"/>
    <cellStyle name="40% - Accent2 4 3 5" xfId="17295"/>
    <cellStyle name="40% - Accent2 4 3 6" xfId="17296"/>
    <cellStyle name="40% - Accent2 4 3 7" xfId="17297"/>
    <cellStyle name="40% - Accent2 4 4" xfId="365"/>
    <cellStyle name="40% - Accent2 4 4 2" xfId="17298"/>
    <cellStyle name="40% - Accent2 4 4 2 2" xfId="17299"/>
    <cellStyle name="40% - Accent2 4 4 2 3" xfId="17300"/>
    <cellStyle name="40% - Accent2 4 4 2 4" xfId="17301"/>
    <cellStyle name="40% - Accent2 4 4 3" xfId="17302"/>
    <cellStyle name="40% - Accent2 4 4 4" xfId="17303"/>
    <cellStyle name="40% - Accent2 4 4 5" xfId="17304"/>
    <cellStyle name="40% - Accent2 4 5" xfId="366"/>
    <cellStyle name="40% - Accent2 4 5 2" xfId="17305"/>
    <cellStyle name="40% - Accent2 4 5 2 2" xfId="17306"/>
    <cellStyle name="40% - Accent2 4 5 2 3" xfId="17307"/>
    <cellStyle name="40% - Accent2 4 5 2 4" xfId="17308"/>
    <cellStyle name="40% - Accent2 4 5 3" xfId="17309"/>
    <cellStyle name="40% - Accent2 4 5 4" xfId="17310"/>
    <cellStyle name="40% - Accent2 4 5 5" xfId="17311"/>
    <cellStyle name="40% - Accent2 4 6" xfId="17312"/>
    <cellStyle name="40% - Accent2 4 6 2" xfId="17313"/>
    <cellStyle name="40% - Accent2 4 6 3" xfId="17314"/>
    <cellStyle name="40% - Accent2 4 6 4" xfId="17315"/>
    <cellStyle name="40% - Accent2 4 7" xfId="17316"/>
    <cellStyle name="40% - Accent2 4 8" xfId="17317"/>
    <cellStyle name="40% - Accent2 4 9" xfId="17318"/>
    <cellStyle name="40% - Accent2 5" xfId="367"/>
    <cellStyle name="40% - Accent2 5 10" xfId="17319"/>
    <cellStyle name="40% - Accent2 5 2" xfId="368"/>
    <cellStyle name="40% - Accent2 5 2 2" xfId="369"/>
    <cellStyle name="40% - Accent2 5 2 2 2" xfId="17320"/>
    <cellStyle name="40% - Accent2 5 2 2 2 2" xfId="17321"/>
    <cellStyle name="40% - Accent2 5 2 2 2 3" xfId="17322"/>
    <cellStyle name="40% - Accent2 5 2 2 2 4" xfId="17323"/>
    <cellStyle name="40% - Accent2 5 2 2 3" xfId="17324"/>
    <cellStyle name="40% - Accent2 5 2 2 4" xfId="17325"/>
    <cellStyle name="40% - Accent2 5 2 2 5" xfId="17326"/>
    <cellStyle name="40% - Accent2 5 2 3" xfId="370"/>
    <cellStyle name="40% - Accent2 5 2 3 2" xfId="17327"/>
    <cellStyle name="40% - Accent2 5 2 3 2 2" xfId="17328"/>
    <cellStyle name="40% - Accent2 5 2 3 2 3" xfId="17329"/>
    <cellStyle name="40% - Accent2 5 2 3 2 4" xfId="17330"/>
    <cellStyle name="40% - Accent2 5 2 3 3" xfId="17331"/>
    <cellStyle name="40% - Accent2 5 2 3 4" xfId="17332"/>
    <cellStyle name="40% - Accent2 5 2 3 5" xfId="17333"/>
    <cellStyle name="40% - Accent2 5 2 4" xfId="17334"/>
    <cellStyle name="40% - Accent2 5 2 4 2" xfId="17335"/>
    <cellStyle name="40% - Accent2 5 2 4 3" xfId="17336"/>
    <cellStyle name="40% - Accent2 5 2 4 4" xfId="17337"/>
    <cellStyle name="40% - Accent2 5 2 5" xfId="17338"/>
    <cellStyle name="40% - Accent2 5 2 6" xfId="17339"/>
    <cellStyle name="40% - Accent2 5 2 7" xfId="17340"/>
    <cellStyle name="40% - Accent2 5 3" xfId="371"/>
    <cellStyle name="40% - Accent2 5 3 2" xfId="17341"/>
    <cellStyle name="40% - Accent2 5 3 2 2" xfId="17342"/>
    <cellStyle name="40% - Accent2 5 3 2 3" xfId="17343"/>
    <cellStyle name="40% - Accent2 5 3 2 4" xfId="17344"/>
    <cellStyle name="40% - Accent2 5 3 3" xfId="17345"/>
    <cellStyle name="40% - Accent2 5 3 4" xfId="17346"/>
    <cellStyle name="40% - Accent2 5 3 5" xfId="17347"/>
    <cellStyle name="40% - Accent2 5 4" xfId="372"/>
    <cellStyle name="40% - Accent2 5 4 2" xfId="17348"/>
    <cellStyle name="40% - Accent2 5 4 2 2" xfId="17349"/>
    <cellStyle name="40% - Accent2 5 4 2 3" xfId="17350"/>
    <cellStyle name="40% - Accent2 5 4 2 4" xfId="17351"/>
    <cellStyle name="40% - Accent2 5 4 3" xfId="17352"/>
    <cellStyle name="40% - Accent2 5 4 4" xfId="17353"/>
    <cellStyle name="40% - Accent2 5 4 5" xfId="17354"/>
    <cellStyle name="40% - Accent2 5 5" xfId="17355"/>
    <cellStyle name="40% - Accent2 5 5 2" xfId="17356"/>
    <cellStyle name="40% - Accent2 5 5 3" xfId="17357"/>
    <cellStyle name="40% - Accent2 5 5 4" xfId="17358"/>
    <cellStyle name="40% - Accent2 5 6" xfId="17359"/>
    <cellStyle name="40% - Accent2 5 7" xfId="17360"/>
    <cellStyle name="40% - Accent2 5 8" xfId="17361"/>
    <cellStyle name="40% - Accent2 5 9" xfId="17362"/>
    <cellStyle name="40% - Accent2 6" xfId="373"/>
    <cellStyle name="40% - Accent2 6 2" xfId="374"/>
    <cellStyle name="40% - Accent2 6 2 2" xfId="17363"/>
    <cellStyle name="40% - Accent2 6 2 2 2" xfId="17364"/>
    <cellStyle name="40% - Accent2 6 2 2 3" xfId="17365"/>
    <cellStyle name="40% - Accent2 6 2 2 4" xfId="17366"/>
    <cellStyle name="40% - Accent2 6 2 3" xfId="17367"/>
    <cellStyle name="40% - Accent2 6 2 4" xfId="17368"/>
    <cellStyle name="40% - Accent2 6 2 5" xfId="17369"/>
    <cellStyle name="40% - Accent2 6 3" xfId="375"/>
    <cellStyle name="40% - Accent2 6 3 2" xfId="17370"/>
    <cellStyle name="40% - Accent2 6 3 2 2" xfId="17371"/>
    <cellStyle name="40% - Accent2 6 3 2 3" xfId="17372"/>
    <cellStyle name="40% - Accent2 6 3 2 4" xfId="17373"/>
    <cellStyle name="40% - Accent2 6 3 3" xfId="17374"/>
    <cellStyle name="40% - Accent2 6 3 4" xfId="17375"/>
    <cellStyle name="40% - Accent2 6 3 5" xfId="17376"/>
    <cellStyle name="40% - Accent2 6 4" xfId="17377"/>
    <cellStyle name="40% - Accent2 6 4 2" xfId="17378"/>
    <cellStyle name="40% - Accent2 6 4 3" xfId="17379"/>
    <cellStyle name="40% - Accent2 6 4 4" xfId="17380"/>
    <cellStyle name="40% - Accent2 6 5" xfId="17381"/>
    <cellStyle name="40% - Accent2 6 6" xfId="17382"/>
    <cellStyle name="40% - Accent2 6 7" xfId="17383"/>
    <cellStyle name="40% - Accent2 6 8" xfId="17384"/>
    <cellStyle name="40% - Accent2 6 9" xfId="17385"/>
    <cellStyle name="40% - Accent2 7" xfId="376"/>
    <cellStyle name="40% - Accent2 7 2" xfId="17386"/>
    <cellStyle name="40% - Accent2 7 2 2" xfId="17387"/>
    <cellStyle name="40% - Accent2 7 2 3" xfId="17388"/>
    <cellStyle name="40% - Accent2 7 2 4" xfId="17389"/>
    <cellStyle name="40% - Accent2 7 3" xfId="17390"/>
    <cellStyle name="40% - Accent2 7 4" xfId="17391"/>
    <cellStyle name="40% - Accent2 7 5" xfId="17392"/>
    <cellStyle name="40% - Accent2 7 6" xfId="17393"/>
    <cellStyle name="40% - Accent2 7 7" xfId="17394"/>
    <cellStyle name="40% - Accent2 7 8" xfId="17395"/>
    <cellStyle name="40% - Accent2 8" xfId="377"/>
    <cellStyle name="40% - Accent2 8 2" xfId="17396"/>
    <cellStyle name="40% - Accent2 8 2 2" xfId="17397"/>
    <cellStyle name="40% - Accent2 8 2 3" xfId="17398"/>
    <cellStyle name="40% - Accent2 8 2 4" xfId="17399"/>
    <cellStyle name="40% - Accent2 8 3" xfId="17400"/>
    <cellStyle name="40% - Accent2 8 4" xfId="17401"/>
    <cellStyle name="40% - Accent2 8 5" xfId="17402"/>
    <cellStyle name="40% - Accent2 8 6" xfId="17403"/>
    <cellStyle name="40% - Accent2 8 7" xfId="17404"/>
    <cellStyle name="40% - Accent2 8 8" xfId="17405"/>
    <cellStyle name="40% - Accent2 9" xfId="17406"/>
    <cellStyle name="40% - Accent2 9 2" xfId="17407"/>
    <cellStyle name="40% - Accent2 9 3" xfId="17408"/>
    <cellStyle name="40% - Accent2 9 4" xfId="17409"/>
    <cellStyle name="40% - Accent2 9 5" xfId="17410"/>
    <cellStyle name="40% - Accent2 9 6" xfId="17411"/>
    <cellStyle name="40% - Accent3 10" xfId="17412"/>
    <cellStyle name="40% - Accent3 10 2" xfId="17413"/>
    <cellStyle name="40% - Accent3 10 3" xfId="17414"/>
    <cellStyle name="40% - Accent3 10 4" xfId="17415"/>
    <cellStyle name="40% - Accent3 10 5" xfId="17416"/>
    <cellStyle name="40% - Accent3 11" xfId="17417"/>
    <cellStyle name="40% - Accent3 11 2" xfId="17418"/>
    <cellStyle name="40% - Accent3 11 3" xfId="17419"/>
    <cellStyle name="40% - Accent3 12" xfId="17420"/>
    <cellStyle name="40% - Accent3 13" xfId="17421"/>
    <cellStyle name="40% - Accent3 13 2" xfId="17422"/>
    <cellStyle name="40% - Accent3 13 3" xfId="17423"/>
    <cellStyle name="40% - Accent3 14" xfId="17424"/>
    <cellStyle name="40% - Accent3 15" xfId="40129"/>
    <cellStyle name="40% - Accent3 16" xfId="40130"/>
    <cellStyle name="40% - Accent3 17" xfId="40131"/>
    <cellStyle name="40% - Accent3 2" xfId="378"/>
    <cellStyle name="40% - Accent3 2 10" xfId="17425"/>
    <cellStyle name="40% - Accent3 2 11" xfId="17426"/>
    <cellStyle name="40% - Accent3 2 12" xfId="17427"/>
    <cellStyle name="40% - Accent3 2 2" xfId="379"/>
    <cellStyle name="40% - Accent3 2 2 2" xfId="380"/>
    <cellStyle name="40% - Accent3 2 2 2 2" xfId="381"/>
    <cellStyle name="40% - Accent3 2 2 2 2 2" xfId="17428"/>
    <cellStyle name="40% - Accent3 2 2 2 2 2 2" xfId="17429"/>
    <cellStyle name="40% - Accent3 2 2 2 2 2 3" xfId="17430"/>
    <cellStyle name="40% - Accent3 2 2 2 2 2 4" xfId="17431"/>
    <cellStyle name="40% - Accent3 2 2 2 2 3" xfId="17432"/>
    <cellStyle name="40% - Accent3 2 2 2 2 4" xfId="17433"/>
    <cellStyle name="40% - Accent3 2 2 2 2 5" xfId="17434"/>
    <cellStyle name="40% - Accent3 2 2 2 3" xfId="382"/>
    <cellStyle name="40% - Accent3 2 2 2 3 2" xfId="17435"/>
    <cellStyle name="40% - Accent3 2 2 2 3 2 2" xfId="17436"/>
    <cellStyle name="40% - Accent3 2 2 2 3 2 3" xfId="17437"/>
    <cellStyle name="40% - Accent3 2 2 2 3 2 4" xfId="17438"/>
    <cellStyle name="40% - Accent3 2 2 2 3 3" xfId="17439"/>
    <cellStyle name="40% - Accent3 2 2 2 3 4" xfId="17440"/>
    <cellStyle name="40% - Accent3 2 2 2 3 5" xfId="17441"/>
    <cellStyle name="40% - Accent3 2 2 2 4" xfId="17442"/>
    <cellStyle name="40% - Accent3 2 2 2 4 2" xfId="17443"/>
    <cellStyle name="40% - Accent3 2 2 2 4 3" xfId="17444"/>
    <cellStyle name="40% - Accent3 2 2 2 4 4" xfId="17445"/>
    <cellStyle name="40% - Accent3 2 2 2 5" xfId="17446"/>
    <cellStyle name="40% - Accent3 2 2 2 6" xfId="17447"/>
    <cellStyle name="40% - Accent3 2 2 2 7" xfId="17448"/>
    <cellStyle name="40% - Accent3 2 2 3" xfId="383"/>
    <cellStyle name="40% - Accent3 2 2 3 2" xfId="17449"/>
    <cellStyle name="40% - Accent3 2 2 3 2 2" xfId="17450"/>
    <cellStyle name="40% - Accent3 2 2 3 2 3" xfId="17451"/>
    <cellStyle name="40% - Accent3 2 2 3 2 4" xfId="17452"/>
    <cellStyle name="40% - Accent3 2 2 3 3" xfId="17453"/>
    <cellStyle name="40% - Accent3 2 2 3 4" xfId="17454"/>
    <cellStyle name="40% - Accent3 2 2 3 5" xfId="17455"/>
    <cellStyle name="40% - Accent3 2 2 4" xfId="384"/>
    <cellStyle name="40% - Accent3 2 2 4 2" xfId="17456"/>
    <cellStyle name="40% - Accent3 2 2 4 2 2" xfId="17457"/>
    <cellStyle name="40% - Accent3 2 2 4 2 3" xfId="17458"/>
    <cellStyle name="40% - Accent3 2 2 4 2 4" xfId="17459"/>
    <cellStyle name="40% - Accent3 2 2 4 3" xfId="17460"/>
    <cellStyle name="40% - Accent3 2 2 4 4" xfId="17461"/>
    <cellStyle name="40% - Accent3 2 2 4 5" xfId="17462"/>
    <cellStyle name="40% - Accent3 2 2 5" xfId="17463"/>
    <cellStyle name="40% - Accent3 2 2 5 2" xfId="17464"/>
    <cellStyle name="40% - Accent3 2 2 5 3" xfId="17465"/>
    <cellStyle name="40% - Accent3 2 2 5 4" xfId="17466"/>
    <cellStyle name="40% - Accent3 2 2 6" xfId="17467"/>
    <cellStyle name="40% - Accent3 2 2 7" xfId="17468"/>
    <cellStyle name="40% - Accent3 2 2 8" xfId="17469"/>
    <cellStyle name="40% - Accent3 2 2 9" xfId="17470"/>
    <cellStyle name="40% - Accent3 2 3" xfId="385"/>
    <cellStyle name="40% - Accent3 2 3 2" xfId="386"/>
    <cellStyle name="40% - Accent3 2 3 2 2" xfId="17471"/>
    <cellStyle name="40% - Accent3 2 3 2 2 2" xfId="17472"/>
    <cellStyle name="40% - Accent3 2 3 2 2 3" xfId="17473"/>
    <cellStyle name="40% - Accent3 2 3 2 2 4" xfId="17474"/>
    <cellStyle name="40% - Accent3 2 3 2 3" xfId="17475"/>
    <cellStyle name="40% - Accent3 2 3 2 4" xfId="17476"/>
    <cellStyle name="40% - Accent3 2 3 2 5" xfId="17477"/>
    <cellStyle name="40% - Accent3 2 3 3" xfId="387"/>
    <cellStyle name="40% - Accent3 2 3 3 2" xfId="17478"/>
    <cellStyle name="40% - Accent3 2 3 3 2 2" xfId="17479"/>
    <cellStyle name="40% - Accent3 2 3 3 2 3" xfId="17480"/>
    <cellStyle name="40% - Accent3 2 3 3 2 4" xfId="17481"/>
    <cellStyle name="40% - Accent3 2 3 3 3" xfId="17482"/>
    <cellStyle name="40% - Accent3 2 3 3 4" xfId="17483"/>
    <cellStyle name="40% - Accent3 2 3 3 5" xfId="17484"/>
    <cellStyle name="40% - Accent3 2 3 4" xfId="17485"/>
    <cellStyle name="40% - Accent3 2 3 4 2" xfId="17486"/>
    <cellStyle name="40% - Accent3 2 3 4 3" xfId="17487"/>
    <cellStyle name="40% - Accent3 2 3 4 4" xfId="17488"/>
    <cellStyle name="40% - Accent3 2 3 5" xfId="17489"/>
    <cellStyle name="40% - Accent3 2 3 6" xfId="17490"/>
    <cellStyle name="40% - Accent3 2 3 7" xfId="17491"/>
    <cellStyle name="40% - Accent3 2 3 8" xfId="17492"/>
    <cellStyle name="40% - Accent3 2 4" xfId="388"/>
    <cellStyle name="40% - Accent3 2 4 2" xfId="17493"/>
    <cellStyle name="40% - Accent3 2 4 2 2" xfId="17494"/>
    <cellStyle name="40% - Accent3 2 4 2 3" xfId="17495"/>
    <cellStyle name="40% - Accent3 2 4 2 4" xfId="17496"/>
    <cellStyle name="40% - Accent3 2 4 3" xfId="17497"/>
    <cellStyle name="40% - Accent3 2 4 4" xfId="17498"/>
    <cellStyle name="40% - Accent3 2 4 5" xfId="17499"/>
    <cellStyle name="40% - Accent3 2 4 6" xfId="17500"/>
    <cellStyle name="40% - Accent3 2 5" xfId="389"/>
    <cellStyle name="40% - Accent3 2 5 2" xfId="17501"/>
    <cellStyle name="40% - Accent3 2 5 2 2" xfId="17502"/>
    <cellStyle name="40% - Accent3 2 5 2 3" xfId="17503"/>
    <cellStyle name="40% - Accent3 2 5 2 4" xfId="17504"/>
    <cellStyle name="40% - Accent3 2 5 3" xfId="17505"/>
    <cellStyle name="40% - Accent3 2 5 4" xfId="17506"/>
    <cellStyle name="40% - Accent3 2 5 5" xfId="17507"/>
    <cellStyle name="40% - Accent3 2 5 6" xfId="17508"/>
    <cellStyle name="40% - Accent3 2 6" xfId="17509"/>
    <cellStyle name="40% - Accent3 2 6 2" xfId="17510"/>
    <cellStyle name="40% - Accent3 2 6 3" xfId="17511"/>
    <cellStyle name="40% - Accent3 2 6 4" xfId="17512"/>
    <cellStyle name="40% - Accent3 2 7" xfId="17513"/>
    <cellStyle name="40% - Accent3 2 8" xfId="17514"/>
    <cellStyle name="40% - Accent3 2 9" xfId="17515"/>
    <cellStyle name="40% - Accent3 3" xfId="390"/>
    <cellStyle name="40% - Accent3 3 10" xfId="17516"/>
    <cellStyle name="40% - Accent3 3 11" xfId="17517"/>
    <cellStyle name="40% - Accent3 3 2" xfId="391"/>
    <cellStyle name="40% - Accent3 3 2 2" xfId="392"/>
    <cellStyle name="40% - Accent3 3 2 2 2" xfId="393"/>
    <cellStyle name="40% - Accent3 3 2 2 2 2" xfId="17518"/>
    <cellStyle name="40% - Accent3 3 2 2 2 2 2" xfId="17519"/>
    <cellStyle name="40% - Accent3 3 2 2 2 2 3" xfId="17520"/>
    <cellStyle name="40% - Accent3 3 2 2 2 2 4" xfId="17521"/>
    <cellStyle name="40% - Accent3 3 2 2 2 3" xfId="17522"/>
    <cellStyle name="40% - Accent3 3 2 2 2 4" xfId="17523"/>
    <cellStyle name="40% - Accent3 3 2 2 2 5" xfId="17524"/>
    <cellStyle name="40% - Accent3 3 2 2 3" xfId="394"/>
    <cellStyle name="40% - Accent3 3 2 2 3 2" xfId="17525"/>
    <cellStyle name="40% - Accent3 3 2 2 3 2 2" xfId="17526"/>
    <cellStyle name="40% - Accent3 3 2 2 3 2 3" xfId="17527"/>
    <cellStyle name="40% - Accent3 3 2 2 3 2 4" xfId="17528"/>
    <cellStyle name="40% - Accent3 3 2 2 3 3" xfId="17529"/>
    <cellStyle name="40% - Accent3 3 2 2 3 4" xfId="17530"/>
    <cellStyle name="40% - Accent3 3 2 2 3 5" xfId="17531"/>
    <cellStyle name="40% - Accent3 3 2 2 4" xfId="17532"/>
    <cellStyle name="40% - Accent3 3 2 2 4 2" xfId="17533"/>
    <cellStyle name="40% - Accent3 3 2 2 4 3" xfId="17534"/>
    <cellStyle name="40% - Accent3 3 2 2 4 4" xfId="17535"/>
    <cellStyle name="40% - Accent3 3 2 2 5" xfId="17536"/>
    <cellStyle name="40% - Accent3 3 2 2 6" xfId="17537"/>
    <cellStyle name="40% - Accent3 3 2 2 7" xfId="17538"/>
    <cellStyle name="40% - Accent3 3 2 3" xfId="395"/>
    <cellStyle name="40% - Accent3 3 2 3 2" xfId="17539"/>
    <cellStyle name="40% - Accent3 3 2 3 2 2" xfId="17540"/>
    <cellStyle name="40% - Accent3 3 2 3 2 3" xfId="17541"/>
    <cellStyle name="40% - Accent3 3 2 3 2 4" xfId="17542"/>
    <cellStyle name="40% - Accent3 3 2 3 3" xfId="17543"/>
    <cellStyle name="40% - Accent3 3 2 3 4" xfId="17544"/>
    <cellStyle name="40% - Accent3 3 2 3 5" xfId="17545"/>
    <cellStyle name="40% - Accent3 3 2 4" xfId="396"/>
    <cellStyle name="40% - Accent3 3 2 4 2" xfId="17546"/>
    <cellStyle name="40% - Accent3 3 2 4 2 2" xfId="17547"/>
    <cellStyle name="40% - Accent3 3 2 4 2 3" xfId="17548"/>
    <cellStyle name="40% - Accent3 3 2 4 2 4" xfId="17549"/>
    <cellStyle name="40% - Accent3 3 2 4 3" xfId="17550"/>
    <cellStyle name="40% - Accent3 3 2 4 4" xfId="17551"/>
    <cellStyle name="40% - Accent3 3 2 4 5" xfId="17552"/>
    <cellStyle name="40% - Accent3 3 2 5" xfId="17553"/>
    <cellStyle name="40% - Accent3 3 2 5 2" xfId="17554"/>
    <cellStyle name="40% - Accent3 3 2 5 3" xfId="17555"/>
    <cellStyle name="40% - Accent3 3 2 5 4" xfId="17556"/>
    <cellStyle name="40% - Accent3 3 2 6" xfId="17557"/>
    <cellStyle name="40% - Accent3 3 2 7" xfId="17558"/>
    <cellStyle name="40% - Accent3 3 2 8" xfId="17559"/>
    <cellStyle name="40% - Accent3 3 3" xfId="397"/>
    <cellStyle name="40% - Accent3 3 3 2" xfId="398"/>
    <cellStyle name="40% - Accent3 3 3 2 2" xfId="17560"/>
    <cellStyle name="40% - Accent3 3 3 2 2 2" xfId="17561"/>
    <cellStyle name="40% - Accent3 3 3 2 2 3" xfId="17562"/>
    <cellStyle name="40% - Accent3 3 3 2 2 4" xfId="17563"/>
    <cellStyle name="40% - Accent3 3 3 2 3" xfId="17564"/>
    <cellStyle name="40% - Accent3 3 3 2 4" xfId="17565"/>
    <cellStyle name="40% - Accent3 3 3 2 5" xfId="17566"/>
    <cellStyle name="40% - Accent3 3 3 3" xfId="399"/>
    <cellStyle name="40% - Accent3 3 3 3 2" xfId="17567"/>
    <cellStyle name="40% - Accent3 3 3 3 2 2" xfId="17568"/>
    <cellStyle name="40% - Accent3 3 3 3 2 3" xfId="17569"/>
    <cellStyle name="40% - Accent3 3 3 3 2 4" xfId="17570"/>
    <cellStyle name="40% - Accent3 3 3 3 3" xfId="17571"/>
    <cellStyle name="40% - Accent3 3 3 3 4" xfId="17572"/>
    <cellStyle name="40% - Accent3 3 3 3 5" xfId="17573"/>
    <cellStyle name="40% - Accent3 3 3 4" xfId="17574"/>
    <cellStyle name="40% - Accent3 3 3 4 2" xfId="17575"/>
    <cellStyle name="40% - Accent3 3 3 4 3" xfId="17576"/>
    <cellStyle name="40% - Accent3 3 3 4 4" xfId="17577"/>
    <cellStyle name="40% - Accent3 3 3 5" xfId="17578"/>
    <cellStyle name="40% - Accent3 3 3 6" xfId="17579"/>
    <cellStyle name="40% - Accent3 3 3 7" xfId="17580"/>
    <cellStyle name="40% - Accent3 3 4" xfId="400"/>
    <cellStyle name="40% - Accent3 3 4 2" xfId="17581"/>
    <cellStyle name="40% - Accent3 3 4 2 2" xfId="17582"/>
    <cellStyle name="40% - Accent3 3 4 2 3" xfId="17583"/>
    <cellStyle name="40% - Accent3 3 4 2 4" xfId="17584"/>
    <cellStyle name="40% - Accent3 3 4 3" xfId="17585"/>
    <cellStyle name="40% - Accent3 3 4 4" xfId="17586"/>
    <cellStyle name="40% - Accent3 3 4 5" xfId="17587"/>
    <cellStyle name="40% - Accent3 3 5" xfId="401"/>
    <cellStyle name="40% - Accent3 3 5 2" xfId="17588"/>
    <cellStyle name="40% - Accent3 3 5 2 2" xfId="17589"/>
    <cellStyle name="40% - Accent3 3 5 2 3" xfId="17590"/>
    <cellStyle name="40% - Accent3 3 5 2 4" xfId="17591"/>
    <cellStyle name="40% - Accent3 3 5 3" xfId="17592"/>
    <cellStyle name="40% - Accent3 3 5 4" xfId="17593"/>
    <cellStyle name="40% - Accent3 3 5 5" xfId="17594"/>
    <cellStyle name="40% - Accent3 3 6" xfId="17595"/>
    <cellStyle name="40% - Accent3 3 6 2" xfId="17596"/>
    <cellStyle name="40% - Accent3 3 6 3" xfId="17597"/>
    <cellStyle name="40% - Accent3 3 6 4" xfId="17598"/>
    <cellStyle name="40% - Accent3 3 7" xfId="17599"/>
    <cellStyle name="40% - Accent3 3 8" xfId="17600"/>
    <cellStyle name="40% - Accent3 3 9" xfId="17601"/>
    <cellStyle name="40% - Accent3 4" xfId="402"/>
    <cellStyle name="40% - Accent3 4 10" xfId="17602"/>
    <cellStyle name="40% - Accent3 4 11" xfId="17603"/>
    <cellStyle name="40% - Accent3 4 2" xfId="403"/>
    <cellStyle name="40% - Accent3 4 2 2" xfId="404"/>
    <cellStyle name="40% - Accent3 4 2 2 2" xfId="405"/>
    <cellStyle name="40% - Accent3 4 2 2 2 2" xfId="17604"/>
    <cellStyle name="40% - Accent3 4 2 2 2 2 2" xfId="17605"/>
    <cellStyle name="40% - Accent3 4 2 2 2 2 3" xfId="17606"/>
    <cellStyle name="40% - Accent3 4 2 2 2 2 4" xfId="17607"/>
    <cellStyle name="40% - Accent3 4 2 2 2 3" xfId="17608"/>
    <cellStyle name="40% - Accent3 4 2 2 2 4" xfId="17609"/>
    <cellStyle name="40% - Accent3 4 2 2 2 5" xfId="17610"/>
    <cellStyle name="40% - Accent3 4 2 2 3" xfId="406"/>
    <cellStyle name="40% - Accent3 4 2 2 3 2" xfId="17611"/>
    <cellStyle name="40% - Accent3 4 2 2 3 2 2" xfId="17612"/>
    <cellStyle name="40% - Accent3 4 2 2 3 2 3" xfId="17613"/>
    <cellStyle name="40% - Accent3 4 2 2 3 2 4" xfId="17614"/>
    <cellStyle name="40% - Accent3 4 2 2 3 3" xfId="17615"/>
    <cellStyle name="40% - Accent3 4 2 2 3 4" xfId="17616"/>
    <cellStyle name="40% - Accent3 4 2 2 3 5" xfId="17617"/>
    <cellStyle name="40% - Accent3 4 2 2 4" xfId="17618"/>
    <cellStyle name="40% - Accent3 4 2 2 4 2" xfId="17619"/>
    <cellStyle name="40% - Accent3 4 2 2 4 3" xfId="17620"/>
    <cellStyle name="40% - Accent3 4 2 2 4 4" xfId="17621"/>
    <cellStyle name="40% - Accent3 4 2 2 5" xfId="17622"/>
    <cellStyle name="40% - Accent3 4 2 2 6" xfId="17623"/>
    <cellStyle name="40% - Accent3 4 2 2 7" xfId="17624"/>
    <cellStyle name="40% - Accent3 4 2 3" xfId="407"/>
    <cellStyle name="40% - Accent3 4 2 3 2" xfId="17625"/>
    <cellStyle name="40% - Accent3 4 2 3 2 2" xfId="17626"/>
    <cellStyle name="40% - Accent3 4 2 3 2 3" xfId="17627"/>
    <cellStyle name="40% - Accent3 4 2 3 2 4" xfId="17628"/>
    <cellStyle name="40% - Accent3 4 2 3 3" xfId="17629"/>
    <cellStyle name="40% - Accent3 4 2 3 4" xfId="17630"/>
    <cellStyle name="40% - Accent3 4 2 3 5" xfId="17631"/>
    <cellStyle name="40% - Accent3 4 2 4" xfId="408"/>
    <cellStyle name="40% - Accent3 4 2 4 2" xfId="17632"/>
    <cellStyle name="40% - Accent3 4 2 4 2 2" xfId="17633"/>
    <cellStyle name="40% - Accent3 4 2 4 2 3" xfId="17634"/>
    <cellStyle name="40% - Accent3 4 2 4 2 4" xfId="17635"/>
    <cellStyle name="40% - Accent3 4 2 4 3" xfId="17636"/>
    <cellStyle name="40% - Accent3 4 2 4 4" xfId="17637"/>
    <cellStyle name="40% - Accent3 4 2 4 5" xfId="17638"/>
    <cellStyle name="40% - Accent3 4 2 5" xfId="17639"/>
    <cellStyle name="40% - Accent3 4 2 5 2" xfId="17640"/>
    <cellStyle name="40% - Accent3 4 2 5 3" xfId="17641"/>
    <cellStyle name="40% - Accent3 4 2 5 4" xfId="17642"/>
    <cellStyle name="40% - Accent3 4 2 6" xfId="17643"/>
    <cellStyle name="40% - Accent3 4 2 7" xfId="17644"/>
    <cellStyle name="40% - Accent3 4 2 8" xfId="17645"/>
    <cellStyle name="40% - Accent3 4 3" xfId="409"/>
    <cellStyle name="40% - Accent3 4 3 2" xfId="410"/>
    <cellStyle name="40% - Accent3 4 3 2 2" xfId="17646"/>
    <cellStyle name="40% - Accent3 4 3 2 2 2" xfId="17647"/>
    <cellStyle name="40% - Accent3 4 3 2 2 3" xfId="17648"/>
    <cellStyle name="40% - Accent3 4 3 2 2 4" xfId="17649"/>
    <cellStyle name="40% - Accent3 4 3 2 3" xfId="17650"/>
    <cellStyle name="40% - Accent3 4 3 2 4" xfId="17651"/>
    <cellStyle name="40% - Accent3 4 3 2 5" xfId="17652"/>
    <cellStyle name="40% - Accent3 4 3 3" xfId="411"/>
    <cellStyle name="40% - Accent3 4 3 3 2" xfId="17653"/>
    <cellStyle name="40% - Accent3 4 3 3 2 2" xfId="17654"/>
    <cellStyle name="40% - Accent3 4 3 3 2 3" xfId="17655"/>
    <cellStyle name="40% - Accent3 4 3 3 2 4" xfId="17656"/>
    <cellStyle name="40% - Accent3 4 3 3 3" xfId="17657"/>
    <cellStyle name="40% - Accent3 4 3 3 4" xfId="17658"/>
    <cellStyle name="40% - Accent3 4 3 3 5" xfId="17659"/>
    <cellStyle name="40% - Accent3 4 3 4" xfId="17660"/>
    <cellStyle name="40% - Accent3 4 3 4 2" xfId="17661"/>
    <cellStyle name="40% - Accent3 4 3 4 3" xfId="17662"/>
    <cellStyle name="40% - Accent3 4 3 4 4" xfId="17663"/>
    <cellStyle name="40% - Accent3 4 3 5" xfId="17664"/>
    <cellStyle name="40% - Accent3 4 3 6" xfId="17665"/>
    <cellStyle name="40% - Accent3 4 3 7" xfId="17666"/>
    <cellStyle name="40% - Accent3 4 4" xfId="412"/>
    <cellStyle name="40% - Accent3 4 4 2" xfId="17667"/>
    <cellStyle name="40% - Accent3 4 4 2 2" xfId="17668"/>
    <cellStyle name="40% - Accent3 4 4 2 3" xfId="17669"/>
    <cellStyle name="40% - Accent3 4 4 2 4" xfId="17670"/>
    <cellStyle name="40% - Accent3 4 4 3" xfId="17671"/>
    <cellStyle name="40% - Accent3 4 4 4" xfId="17672"/>
    <cellStyle name="40% - Accent3 4 4 5" xfId="17673"/>
    <cellStyle name="40% - Accent3 4 5" xfId="413"/>
    <cellStyle name="40% - Accent3 4 5 2" xfId="17674"/>
    <cellStyle name="40% - Accent3 4 5 2 2" xfId="17675"/>
    <cellStyle name="40% - Accent3 4 5 2 3" xfId="17676"/>
    <cellStyle name="40% - Accent3 4 5 2 4" xfId="17677"/>
    <cellStyle name="40% - Accent3 4 5 3" xfId="17678"/>
    <cellStyle name="40% - Accent3 4 5 4" xfId="17679"/>
    <cellStyle name="40% - Accent3 4 5 5" xfId="17680"/>
    <cellStyle name="40% - Accent3 4 6" xfId="17681"/>
    <cellStyle name="40% - Accent3 4 6 2" xfId="17682"/>
    <cellStyle name="40% - Accent3 4 6 3" xfId="17683"/>
    <cellStyle name="40% - Accent3 4 6 4" xfId="17684"/>
    <cellStyle name="40% - Accent3 4 7" xfId="17685"/>
    <cellStyle name="40% - Accent3 4 8" xfId="17686"/>
    <cellStyle name="40% - Accent3 4 9" xfId="17687"/>
    <cellStyle name="40% - Accent3 5" xfId="414"/>
    <cellStyle name="40% - Accent3 5 10" xfId="17688"/>
    <cellStyle name="40% - Accent3 5 2" xfId="415"/>
    <cellStyle name="40% - Accent3 5 2 2" xfId="416"/>
    <cellStyle name="40% - Accent3 5 2 2 2" xfId="17689"/>
    <cellStyle name="40% - Accent3 5 2 2 2 2" xfId="17690"/>
    <cellStyle name="40% - Accent3 5 2 2 2 3" xfId="17691"/>
    <cellStyle name="40% - Accent3 5 2 2 2 4" xfId="17692"/>
    <cellStyle name="40% - Accent3 5 2 2 3" xfId="17693"/>
    <cellStyle name="40% - Accent3 5 2 2 4" xfId="17694"/>
    <cellStyle name="40% - Accent3 5 2 2 5" xfId="17695"/>
    <cellStyle name="40% - Accent3 5 2 3" xfId="417"/>
    <cellStyle name="40% - Accent3 5 2 3 2" xfId="17696"/>
    <cellStyle name="40% - Accent3 5 2 3 2 2" xfId="17697"/>
    <cellStyle name="40% - Accent3 5 2 3 2 3" xfId="17698"/>
    <cellStyle name="40% - Accent3 5 2 3 2 4" xfId="17699"/>
    <cellStyle name="40% - Accent3 5 2 3 3" xfId="17700"/>
    <cellStyle name="40% - Accent3 5 2 3 4" xfId="17701"/>
    <cellStyle name="40% - Accent3 5 2 3 5" xfId="17702"/>
    <cellStyle name="40% - Accent3 5 2 4" xfId="17703"/>
    <cellStyle name="40% - Accent3 5 2 4 2" xfId="17704"/>
    <cellStyle name="40% - Accent3 5 2 4 3" xfId="17705"/>
    <cellStyle name="40% - Accent3 5 2 4 4" xfId="17706"/>
    <cellStyle name="40% - Accent3 5 2 5" xfId="17707"/>
    <cellStyle name="40% - Accent3 5 2 6" xfId="17708"/>
    <cellStyle name="40% - Accent3 5 2 7" xfId="17709"/>
    <cellStyle name="40% - Accent3 5 3" xfId="418"/>
    <cellStyle name="40% - Accent3 5 3 2" xfId="17710"/>
    <cellStyle name="40% - Accent3 5 3 2 2" xfId="17711"/>
    <cellStyle name="40% - Accent3 5 3 2 3" xfId="17712"/>
    <cellStyle name="40% - Accent3 5 3 2 4" xfId="17713"/>
    <cellStyle name="40% - Accent3 5 3 3" xfId="17714"/>
    <cellStyle name="40% - Accent3 5 3 4" xfId="17715"/>
    <cellStyle name="40% - Accent3 5 3 5" xfId="17716"/>
    <cellStyle name="40% - Accent3 5 4" xfId="419"/>
    <cellStyle name="40% - Accent3 5 4 2" xfId="17717"/>
    <cellStyle name="40% - Accent3 5 4 2 2" xfId="17718"/>
    <cellStyle name="40% - Accent3 5 4 2 3" xfId="17719"/>
    <cellStyle name="40% - Accent3 5 4 2 4" xfId="17720"/>
    <cellStyle name="40% - Accent3 5 4 3" xfId="17721"/>
    <cellStyle name="40% - Accent3 5 4 4" xfId="17722"/>
    <cellStyle name="40% - Accent3 5 4 5" xfId="17723"/>
    <cellStyle name="40% - Accent3 5 5" xfId="17724"/>
    <cellStyle name="40% - Accent3 5 5 2" xfId="17725"/>
    <cellStyle name="40% - Accent3 5 5 3" xfId="17726"/>
    <cellStyle name="40% - Accent3 5 5 4" xfId="17727"/>
    <cellStyle name="40% - Accent3 5 6" xfId="17728"/>
    <cellStyle name="40% - Accent3 5 7" xfId="17729"/>
    <cellStyle name="40% - Accent3 5 8" xfId="17730"/>
    <cellStyle name="40% - Accent3 5 9" xfId="17731"/>
    <cellStyle name="40% - Accent3 6" xfId="420"/>
    <cellStyle name="40% - Accent3 6 2" xfId="421"/>
    <cellStyle name="40% - Accent3 6 2 2" xfId="17732"/>
    <cellStyle name="40% - Accent3 6 2 2 2" xfId="17733"/>
    <cellStyle name="40% - Accent3 6 2 2 3" xfId="17734"/>
    <cellStyle name="40% - Accent3 6 2 2 4" xfId="17735"/>
    <cellStyle name="40% - Accent3 6 2 3" xfId="17736"/>
    <cellStyle name="40% - Accent3 6 2 4" xfId="17737"/>
    <cellStyle name="40% - Accent3 6 2 5" xfId="17738"/>
    <cellStyle name="40% - Accent3 6 3" xfId="422"/>
    <cellStyle name="40% - Accent3 6 3 2" xfId="17739"/>
    <cellStyle name="40% - Accent3 6 3 2 2" xfId="17740"/>
    <cellStyle name="40% - Accent3 6 3 2 3" xfId="17741"/>
    <cellStyle name="40% - Accent3 6 3 2 4" xfId="17742"/>
    <cellStyle name="40% - Accent3 6 3 3" xfId="17743"/>
    <cellStyle name="40% - Accent3 6 3 4" xfId="17744"/>
    <cellStyle name="40% - Accent3 6 3 5" xfId="17745"/>
    <cellStyle name="40% - Accent3 6 4" xfId="17746"/>
    <cellStyle name="40% - Accent3 6 4 2" xfId="17747"/>
    <cellStyle name="40% - Accent3 6 4 3" xfId="17748"/>
    <cellStyle name="40% - Accent3 6 4 4" xfId="17749"/>
    <cellStyle name="40% - Accent3 6 5" xfId="17750"/>
    <cellStyle name="40% - Accent3 6 6" xfId="17751"/>
    <cellStyle name="40% - Accent3 6 7" xfId="17752"/>
    <cellStyle name="40% - Accent3 6 8" xfId="17753"/>
    <cellStyle name="40% - Accent3 6 9" xfId="17754"/>
    <cellStyle name="40% - Accent3 7" xfId="423"/>
    <cellStyle name="40% - Accent3 7 2" xfId="17755"/>
    <cellStyle name="40% - Accent3 7 2 2" xfId="17756"/>
    <cellStyle name="40% - Accent3 7 2 3" xfId="17757"/>
    <cellStyle name="40% - Accent3 7 2 4" xfId="17758"/>
    <cellStyle name="40% - Accent3 7 3" xfId="17759"/>
    <cellStyle name="40% - Accent3 7 4" xfId="17760"/>
    <cellStyle name="40% - Accent3 7 5" xfId="17761"/>
    <cellStyle name="40% - Accent3 7 6" xfId="17762"/>
    <cellStyle name="40% - Accent3 7 7" xfId="17763"/>
    <cellStyle name="40% - Accent3 7 8" xfId="17764"/>
    <cellStyle name="40% - Accent3 8" xfId="424"/>
    <cellStyle name="40% - Accent3 8 2" xfId="17765"/>
    <cellStyle name="40% - Accent3 8 2 2" xfId="17766"/>
    <cellStyle name="40% - Accent3 8 2 3" xfId="17767"/>
    <cellStyle name="40% - Accent3 8 2 4" xfId="17768"/>
    <cellStyle name="40% - Accent3 8 3" xfId="17769"/>
    <cellStyle name="40% - Accent3 8 4" xfId="17770"/>
    <cellStyle name="40% - Accent3 8 5" xfId="17771"/>
    <cellStyle name="40% - Accent3 8 6" xfId="17772"/>
    <cellStyle name="40% - Accent3 8 7" xfId="17773"/>
    <cellStyle name="40% - Accent3 8 8" xfId="17774"/>
    <cellStyle name="40% - Accent3 9" xfId="17775"/>
    <cellStyle name="40% - Accent3 9 2" xfId="17776"/>
    <cellStyle name="40% - Accent3 9 3" xfId="17777"/>
    <cellStyle name="40% - Accent3 9 4" xfId="17778"/>
    <cellStyle name="40% - Accent3 9 5" xfId="17779"/>
    <cellStyle name="40% - Accent3 9 6" xfId="17780"/>
    <cellStyle name="40% - Accent4 10" xfId="17781"/>
    <cellStyle name="40% - Accent4 10 2" xfId="17782"/>
    <cellStyle name="40% - Accent4 10 3" xfId="17783"/>
    <cellStyle name="40% - Accent4 10 4" xfId="17784"/>
    <cellStyle name="40% - Accent4 10 5" xfId="17785"/>
    <cellStyle name="40% - Accent4 11" xfId="17786"/>
    <cellStyle name="40% - Accent4 11 2" xfId="17787"/>
    <cellStyle name="40% - Accent4 11 3" xfId="17788"/>
    <cellStyle name="40% - Accent4 12" xfId="17789"/>
    <cellStyle name="40% - Accent4 13" xfId="17790"/>
    <cellStyle name="40% - Accent4 13 2" xfId="17791"/>
    <cellStyle name="40% - Accent4 13 3" xfId="17792"/>
    <cellStyle name="40% - Accent4 14" xfId="17793"/>
    <cellStyle name="40% - Accent4 15" xfId="40132"/>
    <cellStyle name="40% - Accent4 16" xfId="40133"/>
    <cellStyle name="40% - Accent4 17" xfId="40134"/>
    <cellStyle name="40% - Accent4 2" xfId="425"/>
    <cellStyle name="40% - Accent4 2 10" xfId="17794"/>
    <cellStyle name="40% - Accent4 2 11" xfId="17795"/>
    <cellStyle name="40% - Accent4 2 12" xfId="17796"/>
    <cellStyle name="40% - Accent4 2 2" xfId="426"/>
    <cellStyle name="40% - Accent4 2 2 2" xfId="427"/>
    <cellStyle name="40% - Accent4 2 2 2 2" xfId="428"/>
    <cellStyle name="40% - Accent4 2 2 2 2 2" xfId="17797"/>
    <cellStyle name="40% - Accent4 2 2 2 2 2 2" xfId="17798"/>
    <cellStyle name="40% - Accent4 2 2 2 2 2 3" xfId="17799"/>
    <cellStyle name="40% - Accent4 2 2 2 2 2 4" xfId="17800"/>
    <cellStyle name="40% - Accent4 2 2 2 2 3" xfId="17801"/>
    <cellStyle name="40% - Accent4 2 2 2 2 4" xfId="17802"/>
    <cellStyle name="40% - Accent4 2 2 2 2 5" xfId="17803"/>
    <cellStyle name="40% - Accent4 2 2 2 3" xfId="429"/>
    <cellStyle name="40% - Accent4 2 2 2 3 2" xfId="17804"/>
    <cellStyle name="40% - Accent4 2 2 2 3 2 2" xfId="17805"/>
    <cellStyle name="40% - Accent4 2 2 2 3 2 3" xfId="17806"/>
    <cellStyle name="40% - Accent4 2 2 2 3 2 4" xfId="17807"/>
    <cellStyle name="40% - Accent4 2 2 2 3 3" xfId="17808"/>
    <cellStyle name="40% - Accent4 2 2 2 3 4" xfId="17809"/>
    <cellStyle name="40% - Accent4 2 2 2 3 5" xfId="17810"/>
    <cellStyle name="40% - Accent4 2 2 2 4" xfId="17811"/>
    <cellStyle name="40% - Accent4 2 2 2 4 2" xfId="17812"/>
    <cellStyle name="40% - Accent4 2 2 2 4 3" xfId="17813"/>
    <cellStyle name="40% - Accent4 2 2 2 4 4" xfId="17814"/>
    <cellStyle name="40% - Accent4 2 2 2 5" xfId="17815"/>
    <cellStyle name="40% - Accent4 2 2 2 6" xfId="17816"/>
    <cellStyle name="40% - Accent4 2 2 2 7" xfId="17817"/>
    <cellStyle name="40% - Accent4 2 2 3" xfId="430"/>
    <cellStyle name="40% - Accent4 2 2 3 2" xfId="17818"/>
    <cellStyle name="40% - Accent4 2 2 3 2 2" xfId="17819"/>
    <cellStyle name="40% - Accent4 2 2 3 2 3" xfId="17820"/>
    <cellStyle name="40% - Accent4 2 2 3 2 4" xfId="17821"/>
    <cellStyle name="40% - Accent4 2 2 3 3" xfId="17822"/>
    <cellStyle name="40% - Accent4 2 2 3 4" xfId="17823"/>
    <cellStyle name="40% - Accent4 2 2 3 5" xfId="17824"/>
    <cellStyle name="40% - Accent4 2 2 4" xfId="431"/>
    <cellStyle name="40% - Accent4 2 2 4 2" xfId="17825"/>
    <cellStyle name="40% - Accent4 2 2 4 2 2" xfId="17826"/>
    <cellStyle name="40% - Accent4 2 2 4 2 3" xfId="17827"/>
    <cellStyle name="40% - Accent4 2 2 4 2 4" xfId="17828"/>
    <cellStyle name="40% - Accent4 2 2 4 3" xfId="17829"/>
    <cellStyle name="40% - Accent4 2 2 4 4" xfId="17830"/>
    <cellStyle name="40% - Accent4 2 2 4 5" xfId="17831"/>
    <cellStyle name="40% - Accent4 2 2 5" xfId="17832"/>
    <cellStyle name="40% - Accent4 2 2 5 2" xfId="17833"/>
    <cellStyle name="40% - Accent4 2 2 5 3" xfId="17834"/>
    <cellStyle name="40% - Accent4 2 2 5 4" xfId="17835"/>
    <cellStyle name="40% - Accent4 2 2 6" xfId="17836"/>
    <cellStyle name="40% - Accent4 2 2 7" xfId="17837"/>
    <cellStyle name="40% - Accent4 2 2 8" xfId="17838"/>
    <cellStyle name="40% - Accent4 2 2 9" xfId="17839"/>
    <cellStyle name="40% - Accent4 2 3" xfId="432"/>
    <cellStyle name="40% - Accent4 2 3 2" xfId="433"/>
    <cellStyle name="40% - Accent4 2 3 2 2" xfId="17840"/>
    <cellStyle name="40% - Accent4 2 3 2 2 2" xfId="17841"/>
    <cellStyle name="40% - Accent4 2 3 2 2 3" xfId="17842"/>
    <cellStyle name="40% - Accent4 2 3 2 2 4" xfId="17843"/>
    <cellStyle name="40% - Accent4 2 3 2 3" xfId="17844"/>
    <cellStyle name="40% - Accent4 2 3 2 4" xfId="17845"/>
    <cellStyle name="40% - Accent4 2 3 2 5" xfId="17846"/>
    <cellStyle name="40% - Accent4 2 3 3" xfId="434"/>
    <cellStyle name="40% - Accent4 2 3 3 2" xfId="17847"/>
    <cellStyle name="40% - Accent4 2 3 3 2 2" xfId="17848"/>
    <cellStyle name="40% - Accent4 2 3 3 2 3" xfId="17849"/>
    <cellStyle name="40% - Accent4 2 3 3 2 4" xfId="17850"/>
    <cellStyle name="40% - Accent4 2 3 3 3" xfId="17851"/>
    <cellStyle name="40% - Accent4 2 3 3 4" xfId="17852"/>
    <cellStyle name="40% - Accent4 2 3 3 5" xfId="17853"/>
    <cellStyle name="40% - Accent4 2 3 4" xfId="17854"/>
    <cellStyle name="40% - Accent4 2 3 4 2" xfId="17855"/>
    <cellStyle name="40% - Accent4 2 3 4 3" xfId="17856"/>
    <cellStyle name="40% - Accent4 2 3 4 4" xfId="17857"/>
    <cellStyle name="40% - Accent4 2 3 5" xfId="17858"/>
    <cellStyle name="40% - Accent4 2 3 6" xfId="17859"/>
    <cellStyle name="40% - Accent4 2 3 7" xfId="17860"/>
    <cellStyle name="40% - Accent4 2 3 8" xfId="17861"/>
    <cellStyle name="40% - Accent4 2 4" xfId="435"/>
    <cellStyle name="40% - Accent4 2 4 2" xfId="17862"/>
    <cellStyle name="40% - Accent4 2 4 2 2" xfId="17863"/>
    <cellStyle name="40% - Accent4 2 4 2 3" xfId="17864"/>
    <cellStyle name="40% - Accent4 2 4 2 4" xfId="17865"/>
    <cellStyle name="40% - Accent4 2 4 3" xfId="17866"/>
    <cellStyle name="40% - Accent4 2 4 4" xfId="17867"/>
    <cellStyle name="40% - Accent4 2 4 5" xfId="17868"/>
    <cellStyle name="40% - Accent4 2 4 6" xfId="17869"/>
    <cellStyle name="40% - Accent4 2 5" xfId="436"/>
    <cellStyle name="40% - Accent4 2 5 2" xfId="17870"/>
    <cellStyle name="40% - Accent4 2 5 2 2" xfId="17871"/>
    <cellStyle name="40% - Accent4 2 5 2 3" xfId="17872"/>
    <cellStyle name="40% - Accent4 2 5 2 4" xfId="17873"/>
    <cellStyle name="40% - Accent4 2 5 3" xfId="17874"/>
    <cellStyle name="40% - Accent4 2 5 4" xfId="17875"/>
    <cellStyle name="40% - Accent4 2 5 5" xfId="17876"/>
    <cellStyle name="40% - Accent4 2 5 6" xfId="17877"/>
    <cellStyle name="40% - Accent4 2 6" xfId="17878"/>
    <cellStyle name="40% - Accent4 2 6 2" xfId="17879"/>
    <cellStyle name="40% - Accent4 2 6 3" xfId="17880"/>
    <cellStyle name="40% - Accent4 2 6 4" xfId="17881"/>
    <cellStyle name="40% - Accent4 2 7" xfId="17882"/>
    <cellStyle name="40% - Accent4 2 8" xfId="17883"/>
    <cellStyle name="40% - Accent4 2 9" xfId="17884"/>
    <cellStyle name="40% - Accent4 3" xfId="437"/>
    <cellStyle name="40% - Accent4 3 10" xfId="17885"/>
    <cellStyle name="40% - Accent4 3 11" xfId="17886"/>
    <cellStyle name="40% - Accent4 3 2" xfId="438"/>
    <cellStyle name="40% - Accent4 3 2 2" xfId="439"/>
    <cellStyle name="40% - Accent4 3 2 2 2" xfId="440"/>
    <cellStyle name="40% - Accent4 3 2 2 2 2" xfId="17887"/>
    <cellStyle name="40% - Accent4 3 2 2 2 2 2" xfId="17888"/>
    <cellStyle name="40% - Accent4 3 2 2 2 2 3" xfId="17889"/>
    <cellStyle name="40% - Accent4 3 2 2 2 2 4" xfId="17890"/>
    <cellStyle name="40% - Accent4 3 2 2 2 3" xfId="17891"/>
    <cellStyle name="40% - Accent4 3 2 2 2 4" xfId="17892"/>
    <cellStyle name="40% - Accent4 3 2 2 2 5" xfId="17893"/>
    <cellStyle name="40% - Accent4 3 2 2 3" xfId="441"/>
    <cellStyle name="40% - Accent4 3 2 2 3 2" xfId="17894"/>
    <cellStyle name="40% - Accent4 3 2 2 3 2 2" xfId="17895"/>
    <cellStyle name="40% - Accent4 3 2 2 3 2 3" xfId="17896"/>
    <cellStyle name="40% - Accent4 3 2 2 3 2 4" xfId="17897"/>
    <cellStyle name="40% - Accent4 3 2 2 3 3" xfId="17898"/>
    <cellStyle name="40% - Accent4 3 2 2 3 4" xfId="17899"/>
    <cellStyle name="40% - Accent4 3 2 2 3 5" xfId="17900"/>
    <cellStyle name="40% - Accent4 3 2 2 4" xfId="17901"/>
    <cellStyle name="40% - Accent4 3 2 2 4 2" xfId="17902"/>
    <cellStyle name="40% - Accent4 3 2 2 4 3" xfId="17903"/>
    <cellStyle name="40% - Accent4 3 2 2 4 4" xfId="17904"/>
    <cellStyle name="40% - Accent4 3 2 2 5" xfId="17905"/>
    <cellStyle name="40% - Accent4 3 2 2 6" xfId="17906"/>
    <cellStyle name="40% - Accent4 3 2 2 7" xfId="17907"/>
    <cellStyle name="40% - Accent4 3 2 3" xfId="442"/>
    <cellStyle name="40% - Accent4 3 2 3 2" xfId="17908"/>
    <cellStyle name="40% - Accent4 3 2 3 2 2" xfId="17909"/>
    <cellStyle name="40% - Accent4 3 2 3 2 3" xfId="17910"/>
    <cellStyle name="40% - Accent4 3 2 3 2 4" xfId="17911"/>
    <cellStyle name="40% - Accent4 3 2 3 3" xfId="17912"/>
    <cellStyle name="40% - Accent4 3 2 3 4" xfId="17913"/>
    <cellStyle name="40% - Accent4 3 2 3 5" xfId="17914"/>
    <cellStyle name="40% - Accent4 3 2 4" xfId="443"/>
    <cellStyle name="40% - Accent4 3 2 4 2" xfId="17915"/>
    <cellStyle name="40% - Accent4 3 2 4 2 2" xfId="17916"/>
    <cellStyle name="40% - Accent4 3 2 4 2 3" xfId="17917"/>
    <cellStyle name="40% - Accent4 3 2 4 2 4" xfId="17918"/>
    <cellStyle name="40% - Accent4 3 2 4 3" xfId="17919"/>
    <cellStyle name="40% - Accent4 3 2 4 4" xfId="17920"/>
    <cellStyle name="40% - Accent4 3 2 4 5" xfId="17921"/>
    <cellStyle name="40% - Accent4 3 2 5" xfId="17922"/>
    <cellStyle name="40% - Accent4 3 2 5 2" xfId="17923"/>
    <cellStyle name="40% - Accent4 3 2 5 3" xfId="17924"/>
    <cellStyle name="40% - Accent4 3 2 5 4" xfId="17925"/>
    <cellStyle name="40% - Accent4 3 2 6" xfId="17926"/>
    <cellStyle name="40% - Accent4 3 2 7" xfId="17927"/>
    <cellStyle name="40% - Accent4 3 2 8" xfId="17928"/>
    <cellStyle name="40% - Accent4 3 3" xfId="444"/>
    <cellStyle name="40% - Accent4 3 3 2" xfId="445"/>
    <cellStyle name="40% - Accent4 3 3 2 2" xfId="17929"/>
    <cellStyle name="40% - Accent4 3 3 2 2 2" xfId="17930"/>
    <cellStyle name="40% - Accent4 3 3 2 2 3" xfId="17931"/>
    <cellStyle name="40% - Accent4 3 3 2 2 4" xfId="17932"/>
    <cellStyle name="40% - Accent4 3 3 2 3" xfId="17933"/>
    <cellStyle name="40% - Accent4 3 3 2 4" xfId="17934"/>
    <cellStyle name="40% - Accent4 3 3 2 5" xfId="17935"/>
    <cellStyle name="40% - Accent4 3 3 3" xfId="446"/>
    <cellStyle name="40% - Accent4 3 3 3 2" xfId="17936"/>
    <cellStyle name="40% - Accent4 3 3 3 2 2" xfId="17937"/>
    <cellStyle name="40% - Accent4 3 3 3 2 3" xfId="17938"/>
    <cellStyle name="40% - Accent4 3 3 3 2 4" xfId="17939"/>
    <cellStyle name="40% - Accent4 3 3 3 3" xfId="17940"/>
    <cellStyle name="40% - Accent4 3 3 3 4" xfId="17941"/>
    <cellStyle name="40% - Accent4 3 3 3 5" xfId="17942"/>
    <cellStyle name="40% - Accent4 3 3 4" xfId="17943"/>
    <cellStyle name="40% - Accent4 3 3 4 2" xfId="17944"/>
    <cellStyle name="40% - Accent4 3 3 4 3" xfId="17945"/>
    <cellStyle name="40% - Accent4 3 3 4 4" xfId="17946"/>
    <cellStyle name="40% - Accent4 3 3 5" xfId="17947"/>
    <cellStyle name="40% - Accent4 3 3 6" xfId="17948"/>
    <cellStyle name="40% - Accent4 3 3 7" xfId="17949"/>
    <cellStyle name="40% - Accent4 3 4" xfId="447"/>
    <cellStyle name="40% - Accent4 3 4 2" xfId="17950"/>
    <cellStyle name="40% - Accent4 3 4 2 2" xfId="17951"/>
    <cellStyle name="40% - Accent4 3 4 2 3" xfId="17952"/>
    <cellStyle name="40% - Accent4 3 4 2 4" xfId="17953"/>
    <cellStyle name="40% - Accent4 3 4 3" xfId="17954"/>
    <cellStyle name="40% - Accent4 3 4 4" xfId="17955"/>
    <cellStyle name="40% - Accent4 3 4 5" xfId="17956"/>
    <cellStyle name="40% - Accent4 3 5" xfId="448"/>
    <cellStyle name="40% - Accent4 3 5 2" xfId="17957"/>
    <cellStyle name="40% - Accent4 3 5 2 2" xfId="17958"/>
    <cellStyle name="40% - Accent4 3 5 2 3" xfId="17959"/>
    <cellStyle name="40% - Accent4 3 5 2 4" xfId="17960"/>
    <cellStyle name="40% - Accent4 3 5 3" xfId="17961"/>
    <cellStyle name="40% - Accent4 3 5 4" xfId="17962"/>
    <cellStyle name="40% - Accent4 3 5 5" xfId="17963"/>
    <cellStyle name="40% - Accent4 3 6" xfId="17964"/>
    <cellStyle name="40% - Accent4 3 6 2" xfId="17965"/>
    <cellStyle name="40% - Accent4 3 6 3" xfId="17966"/>
    <cellStyle name="40% - Accent4 3 6 4" xfId="17967"/>
    <cellStyle name="40% - Accent4 3 7" xfId="17968"/>
    <cellStyle name="40% - Accent4 3 8" xfId="17969"/>
    <cellStyle name="40% - Accent4 3 9" xfId="17970"/>
    <cellStyle name="40% - Accent4 4" xfId="449"/>
    <cellStyle name="40% - Accent4 4 10" xfId="17971"/>
    <cellStyle name="40% - Accent4 4 11" xfId="17972"/>
    <cellStyle name="40% - Accent4 4 2" xfId="450"/>
    <cellStyle name="40% - Accent4 4 2 2" xfId="451"/>
    <cellStyle name="40% - Accent4 4 2 2 2" xfId="452"/>
    <cellStyle name="40% - Accent4 4 2 2 2 2" xfId="17973"/>
    <cellStyle name="40% - Accent4 4 2 2 2 2 2" xfId="17974"/>
    <cellStyle name="40% - Accent4 4 2 2 2 2 3" xfId="17975"/>
    <cellStyle name="40% - Accent4 4 2 2 2 2 4" xfId="17976"/>
    <cellStyle name="40% - Accent4 4 2 2 2 3" xfId="17977"/>
    <cellStyle name="40% - Accent4 4 2 2 2 4" xfId="17978"/>
    <cellStyle name="40% - Accent4 4 2 2 2 5" xfId="17979"/>
    <cellStyle name="40% - Accent4 4 2 2 3" xfId="453"/>
    <cellStyle name="40% - Accent4 4 2 2 3 2" xfId="17980"/>
    <cellStyle name="40% - Accent4 4 2 2 3 2 2" xfId="17981"/>
    <cellStyle name="40% - Accent4 4 2 2 3 2 3" xfId="17982"/>
    <cellStyle name="40% - Accent4 4 2 2 3 2 4" xfId="17983"/>
    <cellStyle name="40% - Accent4 4 2 2 3 3" xfId="17984"/>
    <cellStyle name="40% - Accent4 4 2 2 3 4" xfId="17985"/>
    <cellStyle name="40% - Accent4 4 2 2 3 5" xfId="17986"/>
    <cellStyle name="40% - Accent4 4 2 2 4" xfId="17987"/>
    <cellStyle name="40% - Accent4 4 2 2 4 2" xfId="17988"/>
    <cellStyle name="40% - Accent4 4 2 2 4 3" xfId="17989"/>
    <cellStyle name="40% - Accent4 4 2 2 4 4" xfId="17990"/>
    <cellStyle name="40% - Accent4 4 2 2 5" xfId="17991"/>
    <cellStyle name="40% - Accent4 4 2 2 6" xfId="17992"/>
    <cellStyle name="40% - Accent4 4 2 2 7" xfId="17993"/>
    <cellStyle name="40% - Accent4 4 2 3" xfId="454"/>
    <cellStyle name="40% - Accent4 4 2 3 2" xfId="17994"/>
    <cellStyle name="40% - Accent4 4 2 3 2 2" xfId="17995"/>
    <cellStyle name="40% - Accent4 4 2 3 2 3" xfId="17996"/>
    <cellStyle name="40% - Accent4 4 2 3 2 4" xfId="17997"/>
    <cellStyle name="40% - Accent4 4 2 3 3" xfId="17998"/>
    <cellStyle name="40% - Accent4 4 2 3 4" xfId="17999"/>
    <cellStyle name="40% - Accent4 4 2 3 5" xfId="18000"/>
    <cellStyle name="40% - Accent4 4 2 4" xfId="455"/>
    <cellStyle name="40% - Accent4 4 2 4 2" xfId="18001"/>
    <cellStyle name="40% - Accent4 4 2 4 2 2" xfId="18002"/>
    <cellStyle name="40% - Accent4 4 2 4 2 3" xfId="18003"/>
    <cellStyle name="40% - Accent4 4 2 4 2 4" xfId="18004"/>
    <cellStyle name="40% - Accent4 4 2 4 3" xfId="18005"/>
    <cellStyle name="40% - Accent4 4 2 4 4" xfId="18006"/>
    <cellStyle name="40% - Accent4 4 2 4 5" xfId="18007"/>
    <cellStyle name="40% - Accent4 4 2 5" xfId="18008"/>
    <cellStyle name="40% - Accent4 4 2 5 2" xfId="18009"/>
    <cellStyle name="40% - Accent4 4 2 5 3" xfId="18010"/>
    <cellStyle name="40% - Accent4 4 2 5 4" xfId="18011"/>
    <cellStyle name="40% - Accent4 4 2 6" xfId="18012"/>
    <cellStyle name="40% - Accent4 4 2 7" xfId="18013"/>
    <cellStyle name="40% - Accent4 4 2 8" xfId="18014"/>
    <cellStyle name="40% - Accent4 4 3" xfId="456"/>
    <cellStyle name="40% - Accent4 4 3 2" xfId="457"/>
    <cellStyle name="40% - Accent4 4 3 2 2" xfId="18015"/>
    <cellStyle name="40% - Accent4 4 3 2 2 2" xfId="18016"/>
    <cellStyle name="40% - Accent4 4 3 2 2 3" xfId="18017"/>
    <cellStyle name="40% - Accent4 4 3 2 2 4" xfId="18018"/>
    <cellStyle name="40% - Accent4 4 3 2 3" xfId="18019"/>
    <cellStyle name="40% - Accent4 4 3 2 4" xfId="18020"/>
    <cellStyle name="40% - Accent4 4 3 2 5" xfId="18021"/>
    <cellStyle name="40% - Accent4 4 3 3" xfId="458"/>
    <cellStyle name="40% - Accent4 4 3 3 2" xfId="18022"/>
    <cellStyle name="40% - Accent4 4 3 3 2 2" xfId="18023"/>
    <cellStyle name="40% - Accent4 4 3 3 2 3" xfId="18024"/>
    <cellStyle name="40% - Accent4 4 3 3 2 4" xfId="18025"/>
    <cellStyle name="40% - Accent4 4 3 3 3" xfId="18026"/>
    <cellStyle name="40% - Accent4 4 3 3 4" xfId="18027"/>
    <cellStyle name="40% - Accent4 4 3 3 5" xfId="18028"/>
    <cellStyle name="40% - Accent4 4 3 4" xfId="18029"/>
    <cellStyle name="40% - Accent4 4 3 4 2" xfId="18030"/>
    <cellStyle name="40% - Accent4 4 3 4 3" xfId="18031"/>
    <cellStyle name="40% - Accent4 4 3 4 4" xfId="18032"/>
    <cellStyle name="40% - Accent4 4 3 5" xfId="18033"/>
    <cellStyle name="40% - Accent4 4 3 6" xfId="18034"/>
    <cellStyle name="40% - Accent4 4 3 7" xfId="18035"/>
    <cellStyle name="40% - Accent4 4 4" xfId="459"/>
    <cellStyle name="40% - Accent4 4 4 2" xfId="18036"/>
    <cellStyle name="40% - Accent4 4 4 2 2" xfId="18037"/>
    <cellStyle name="40% - Accent4 4 4 2 3" xfId="18038"/>
    <cellStyle name="40% - Accent4 4 4 2 4" xfId="18039"/>
    <cellStyle name="40% - Accent4 4 4 3" xfId="18040"/>
    <cellStyle name="40% - Accent4 4 4 4" xfId="18041"/>
    <cellStyle name="40% - Accent4 4 4 5" xfId="18042"/>
    <cellStyle name="40% - Accent4 4 5" xfId="460"/>
    <cellStyle name="40% - Accent4 4 5 2" xfId="18043"/>
    <cellStyle name="40% - Accent4 4 5 2 2" xfId="18044"/>
    <cellStyle name="40% - Accent4 4 5 2 3" xfId="18045"/>
    <cellStyle name="40% - Accent4 4 5 2 4" xfId="18046"/>
    <cellStyle name="40% - Accent4 4 5 3" xfId="18047"/>
    <cellStyle name="40% - Accent4 4 5 4" xfId="18048"/>
    <cellStyle name="40% - Accent4 4 5 5" xfId="18049"/>
    <cellStyle name="40% - Accent4 4 6" xfId="18050"/>
    <cellStyle name="40% - Accent4 4 6 2" xfId="18051"/>
    <cellStyle name="40% - Accent4 4 6 3" xfId="18052"/>
    <cellStyle name="40% - Accent4 4 6 4" xfId="18053"/>
    <cellStyle name="40% - Accent4 4 7" xfId="18054"/>
    <cellStyle name="40% - Accent4 4 8" xfId="18055"/>
    <cellStyle name="40% - Accent4 4 9" xfId="18056"/>
    <cellStyle name="40% - Accent4 5" xfId="461"/>
    <cellStyle name="40% - Accent4 5 10" xfId="18057"/>
    <cellStyle name="40% - Accent4 5 2" xfId="462"/>
    <cellStyle name="40% - Accent4 5 2 2" xfId="463"/>
    <cellStyle name="40% - Accent4 5 2 2 2" xfId="18058"/>
    <cellStyle name="40% - Accent4 5 2 2 2 2" xfId="18059"/>
    <cellStyle name="40% - Accent4 5 2 2 2 3" xfId="18060"/>
    <cellStyle name="40% - Accent4 5 2 2 2 4" xfId="18061"/>
    <cellStyle name="40% - Accent4 5 2 2 3" xfId="18062"/>
    <cellStyle name="40% - Accent4 5 2 2 4" xfId="18063"/>
    <cellStyle name="40% - Accent4 5 2 2 5" xfId="18064"/>
    <cellStyle name="40% - Accent4 5 2 3" xfId="464"/>
    <cellStyle name="40% - Accent4 5 2 3 2" xfId="18065"/>
    <cellStyle name="40% - Accent4 5 2 3 2 2" xfId="18066"/>
    <cellStyle name="40% - Accent4 5 2 3 2 3" xfId="18067"/>
    <cellStyle name="40% - Accent4 5 2 3 2 4" xfId="18068"/>
    <cellStyle name="40% - Accent4 5 2 3 3" xfId="18069"/>
    <cellStyle name="40% - Accent4 5 2 3 4" xfId="18070"/>
    <cellStyle name="40% - Accent4 5 2 3 5" xfId="18071"/>
    <cellStyle name="40% - Accent4 5 2 4" xfId="18072"/>
    <cellStyle name="40% - Accent4 5 2 4 2" xfId="18073"/>
    <cellStyle name="40% - Accent4 5 2 4 3" xfId="18074"/>
    <cellStyle name="40% - Accent4 5 2 4 4" xfId="18075"/>
    <cellStyle name="40% - Accent4 5 2 5" xfId="18076"/>
    <cellStyle name="40% - Accent4 5 2 6" xfId="18077"/>
    <cellStyle name="40% - Accent4 5 2 7" xfId="18078"/>
    <cellStyle name="40% - Accent4 5 3" xfId="465"/>
    <cellStyle name="40% - Accent4 5 3 2" xfId="18079"/>
    <cellStyle name="40% - Accent4 5 3 2 2" xfId="18080"/>
    <cellStyle name="40% - Accent4 5 3 2 3" xfId="18081"/>
    <cellStyle name="40% - Accent4 5 3 2 4" xfId="18082"/>
    <cellStyle name="40% - Accent4 5 3 3" xfId="18083"/>
    <cellStyle name="40% - Accent4 5 3 4" xfId="18084"/>
    <cellStyle name="40% - Accent4 5 3 5" xfId="18085"/>
    <cellStyle name="40% - Accent4 5 4" xfId="466"/>
    <cellStyle name="40% - Accent4 5 4 2" xfId="18086"/>
    <cellStyle name="40% - Accent4 5 4 2 2" xfId="18087"/>
    <cellStyle name="40% - Accent4 5 4 2 3" xfId="18088"/>
    <cellStyle name="40% - Accent4 5 4 2 4" xfId="18089"/>
    <cellStyle name="40% - Accent4 5 4 3" xfId="18090"/>
    <cellStyle name="40% - Accent4 5 4 4" xfId="18091"/>
    <cellStyle name="40% - Accent4 5 4 5" xfId="18092"/>
    <cellStyle name="40% - Accent4 5 5" xfId="18093"/>
    <cellStyle name="40% - Accent4 5 5 2" xfId="18094"/>
    <cellStyle name="40% - Accent4 5 5 3" xfId="18095"/>
    <cellStyle name="40% - Accent4 5 5 4" xfId="18096"/>
    <cellStyle name="40% - Accent4 5 6" xfId="18097"/>
    <cellStyle name="40% - Accent4 5 7" xfId="18098"/>
    <cellStyle name="40% - Accent4 5 8" xfId="18099"/>
    <cellStyle name="40% - Accent4 5 9" xfId="18100"/>
    <cellStyle name="40% - Accent4 6" xfId="467"/>
    <cellStyle name="40% - Accent4 6 2" xfId="468"/>
    <cellStyle name="40% - Accent4 6 2 2" xfId="18101"/>
    <cellStyle name="40% - Accent4 6 2 2 2" xfId="18102"/>
    <cellStyle name="40% - Accent4 6 2 2 3" xfId="18103"/>
    <cellStyle name="40% - Accent4 6 2 2 4" xfId="18104"/>
    <cellStyle name="40% - Accent4 6 2 3" xfId="18105"/>
    <cellStyle name="40% - Accent4 6 2 4" xfId="18106"/>
    <cellStyle name="40% - Accent4 6 2 5" xfId="18107"/>
    <cellStyle name="40% - Accent4 6 3" xfId="469"/>
    <cellStyle name="40% - Accent4 6 3 2" xfId="18108"/>
    <cellStyle name="40% - Accent4 6 3 2 2" xfId="18109"/>
    <cellStyle name="40% - Accent4 6 3 2 3" xfId="18110"/>
    <cellStyle name="40% - Accent4 6 3 2 4" xfId="18111"/>
    <cellStyle name="40% - Accent4 6 3 3" xfId="18112"/>
    <cellStyle name="40% - Accent4 6 3 4" xfId="18113"/>
    <cellStyle name="40% - Accent4 6 3 5" xfId="18114"/>
    <cellStyle name="40% - Accent4 6 4" xfId="18115"/>
    <cellStyle name="40% - Accent4 6 4 2" xfId="18116"/>
    <cellStyle name="40% - Accent4 6 4 3" xfId="18117"/>
    <cellStyle name="40% - Accent4 6 4 4" xfId="18118"/>
    <cellStyle name="40% - Accent4 6 5" xfId="18119"/>
    <cellStyle name="40% - Accent4 6 6" xfId="18120"/>
    <cellStyle name="40% - Accent4 6 7" xfId="18121"/>
    <cellStyle name="40% - Accent4 6 8" xfId="18122"/>
    <cellStyle name="40% - Accent4 6 9" xfId="18123"/>
    <cellStyle name="40% - Accent4 7" xfId="470"/>
    <cellStyle name="40% - Accent4 7 2" xfId="18124"/>
    <cellStyle name="40% - Accent4 7 2 2" xfId="18125"/>
    <cellStyle name="40% - Accent4 7 2 3" xfId="18126"/>
    <cellStyle name="40% - Accent4 7 2 4" xfId="18127"/>
    <cellStyle name="40% - Accent4 7 3" xfId="18128"/>
    <cellStyle name="40% - Accent4 7 4" xfId="18129"/>
    <cellStyle name="40% - Accent4 7 5" xfId="18130"/>
    <cellStyle name="40% - Accent4 7 6" xfId="18131"/>
    <cellStyle name="40% - Accent4 7 7" xfId="18132"/>
    <cellStyle name="40% - Accent4 7 8" xfId="18133"/>
    <cellStyle name="40% - Accent4 8" xfId="471"/>
    <cellStyle name="40% - Accent4 8 2" xfId="18134"/>
    <cellStyle name="40% - Accent4 8 2 2" xfId="18135"/>
    <cellStyle name="40% - Accent4 8 2 3" xfId="18136"/>
    <cellStyle name="40% - Accent4 8 2 4" xfId="18137"/>
    <cellStyle name="40% - Accent4 8 3" xfId="18138"/>
    <cellStyle name="40% - Accent4 8 4" xfId="18139"/>
    <cellStyle name="40% - Accent4 8 5" xfId="18140"/>
    <cellStyle name="40% - Accent4 8 6" xfId="18141"/>
    <cellStyle name="40% - Accent4 8 7" xfId="18142"/>
    <cellStyle name="40% - Accent4 8 8" xfId="18143"/>
    <cellStyle name="40% - Accent4 9" xfId="18144"/>
    <cellStyle name="40% - Accent4 9 2" xfId="18145"/>
    <cellStyle name="40% - Accent4 9 3" xfId="18146"/>
    <cellStyle name="40% - Accent4 9 4" xfId="18147"/>
    <cellStyle name="40% - Accent4 9 5" xfId="18148"/>
    <cellStyle name="40% - Accent4 9 6" xfId="18149"/>
    <cellStyle name="40% - Accent5 10" xfId="18150"/>
    <cellStyle name="40% - Accent5 10 2" xfId="18151"/>
    <cellStyle name="40% - Accent5 10 3" xfId="18152"/>
    <cellStyle name="40% - Accent5 10 4" xfId="18153"/>
    <cellStyle name="40% - Accent5 10 5" xfId="18154"/>
    <cellStyle name="40% - Accent5 11" xfId="18155"/>
    <cellStyle name="40% - Accent5 11 2" xfId="18156"/>
    <cellStyle name="40% - Accent5 11 3" xfId="18157"/>
    <cellStyle name="40% - Accent5 12" xfId="18158"/>
    <cellStyle name="40% - Accent5 13" xfId="18159"/>
    <cellStyle name="40% - Accent5 13 2" xfId="18160"/>
    <cellStyle name="40% - Accent5 13 3" xfId="18161"/>
    <cellStyle name="40% - Accent5 14" xfId="18162"/>
    <cellStyle name="40% - Accent5 15" xfId="40135"/>
    <cellStyle name="40% - Accent5 16" xfId="40136"/>
    <cellStyle name="40% - Accent5 17" xfId="40137"/>
    <cellStyle name="40% - Accent5 2" xfId="472"/>
    <cellStyle name="40% - Accent5 2 10" xfId="18163"/>
    <cellStyle name="40% - Accent5 2 11" xfId="18164"/>
    <cellStyle name="40% - Accent5 2 12" xfId="18165"/>
    <cellStyle name="40% - Accent5 2 2" xfId="473"/>
    <cellStyle name="40% - Accent5 2 2 2" xfId="474"/>
    <cellStyle name="40% - Accent5 2 2 2 2" xfId="475"/>
    <cellStyle name="40% - Accent5 2 2 2 2 2" xfId="18166"/>
    <cellStyle name="40% - Accent5 2 2 2 2 2 2" xfId="18167"/>
    <cellStyle name="40% - Accent5 2 2 2 2 2 3" xfId="18168"/>
    <cellStyle name="40% - Accent5 2 2 2 2 2 4" xfId="18169"/>
    <cellStyle name="40% - Accent5 2 2 2 2 3" xfId="18170"/>
    <cellStyle name="40% - Accent5 2 2 2 2 4" xfId="18171"/>
    <cellStyle name="40% - Accent5 2 2 2 2 5" xfId="18172"/>
    <cellStyle name="40% - Accent5 2 2 2 3" xfId="476"/>
    <cellStyle name="40% - Accent5 2 2 2 3 2" xfId="18173"/>
    <cellStyle name="40% - Accent5 2 2 2 3 2 2" xfId="18174"/>
    <cellStyle name="40% - Accent5 2 2 2 3 2 3" xfId="18175"/>
    <cellStyle name="40% - Accent5 2 2 2 3 2 4" xfId="18176"/>
    <cellStyle name="40% - Accent5 2 2 2 3 3" xfId="18177"/>
    <cellStyle name="40% - Accent5 2 2 2 3 4" xfId="18178"/>
    <cellStyle name="40% - Accent5 2 2 2 3 5" xfId="18179"/>
    <cellStyle name="40% - Accent5 2 2 2 4" xfId="18180"/>
    <cellStyle name="40% - Accent5 2 2 2 4 2" xfId="18181"/>
    <cellStyle name="40% - Accent5 2 2 2 4 3" xfId="18182"/>
    <cellStyle name="40% - Accent5 2 2 2 4 4" xfId="18183"/>
    <cellStyle name="40% - Accent5 2 2 2 5" xfId="18184"/>
    <cellStyle name="40% - Accent5 2 2 2 6" xfId="18185"/>
    <cellStyle name="40% - Accent5 2 2 2 7" xfId="18186"/>
    <cellStyle name="40% - Accent5 2 2 3" xfId="477"/>
    <cellStyle name="40% - Accent5 2 2 3 2" xfId="18187"/>
    <cellStyle name="40% - Accent5 2 2 3 2 2" xfId="18188"/>
    <cellStyle name="40% - Accent5 2 2 3 2 3" xfId="18189"/>
    <cellStyle name="40% - Accent5 2 2 3 2 4" xfId="18190"/>
    <cellStyle name="40% - Accent5 2 2 3 3" xfId="18191"/>
    <cellStyle name="40% - Accent5 2 2 3 4" xfId="18192"/>
    <cellStyle name="40% - Accent5 2 2 3 5" xfId="18193"/>
    <cellStyle name="40% - Accent5 2 2 4" xfId="478"/>
    <cellStyle name="40% - Accent5 2 2 4 2" xfId="18194"/>
    <cellStyle name="40% - Accent5 2 2 4 2 2" xfId="18195"/>
    <cellStyle name="40% - Accent5 2 2 4 2 3" xfId="18196"/>
    <cellStyle name="40% - Accent5 2 2 4 2 4" xfId="18197"/>
    <cellStyle name="40% - Accent5 2 2 4 3" xfId="18198"/>
    <cellStyle name="40% - Accent5 2 2 4 4" xfId="18199"/>
    <cellStyle name="40% - Accent5 2 2 4 5" xfId="18200"/>
    <cellStyle name="40% - Accent5 2 2 5" xfId="18201"/>
    <cellStyle name="40% - Accent5 2 2 5 2" xfId="18202"/>
    <cellStyle name="40% - Accent5 2 2 5 3" xfId="18203"/>
    <cellStyle name="40% - Accent5 2 2 5 4" xfId="18204"/>
    <cellStyle name="40% - Accent5 2 2 6" xfId="18205"/>
    <cellStyle name="40% - Accent5 2 2 7" xfId="18206"/>
    <cellStyle name="40% - Accent5 2 2 8" xfId="18207"/>
    <cellStyle name="40% - Accent5 2 2 9" xfId="18208"/>
    <cellStyle name="40% - Accent5 2 3" xfId="479"/>
    <cellStyle name="40% - Accent5 2 3 2" xfId="480"/>
    <cellStyle name="40% - Accent5 2 3 2 2" xfId="18209"/>
    <cellStyle name="40% - Accent5 2 3 2 2 2" xfId="18210"/>
    <cellStyle name="40% - Accent5 2 3 2 2 3" xfId="18211"/>
    <cellStyle name="40% - Accent5 2 3 2 2 4" xfId="18212"/>
    <cellStyle name="40% - Accent5 2 3 2 3" xfId="18213"/>
    <cellStyle name="40% - Accent5 2 3 2 4" xfId="18214"/>
    <cellStyle name="40% - Accent5 2 3 2 5" xfId="18215"/>
    <cellStyle name="40% - Accent5 2 3 3" xfId="481"/>
    <cellStyle name="40% - Accent5 2 3 3 2" xfId="18216"/>
    <cellStyle name="40% - Accent5 2 3 3 2 2" xfId="18217"/>
    <cellStyle name="40% - Accent5 2 3 3 2 3" xfId="18218"/>
    <cellStyle name="40% - Accent5 2 3 3 2 4" xfId="18219"/>
    <cellStyle name="40% - Accent5 2 3 3 3" xfId="18220"/>
    <cellStyle name="40% - Accent5 2 3 3 4" xfId="18221"/>
    <cellStyle name="40% - Accent5 2 3 3 5" xfId="18222"/>
    <cellStyle name="40% - Accent5 2 3 4" xfId="18223"/>
    <cellStyle name="40% - Accent5 2 3 4 2" xfId="18224"/>
    <cellStyle name="40% - Accent5 2 3 4 3" xfId="18225"/>
    <cellStyle name="40% - Accent5 2 3 4 4" xfId="18226"/>
    <cellStyle name="40% - Accent5 2 3 5" xfId="18227"/>
    <cellStyle name="40% - Accent5 2 3 6" xfId="18228"/>
    <cellStyle name="40% - Accent5 2 3 7" xfId="18229"/>
    <cellStyle name="40% - Accent5 2 3 8" xfId="18230"/>
    <cellStyle name="40% - Accent5 2 4" xfId="482"/>
    <cellStyle name="40% - Accent5 2 4 2" xfId="18231"/>
    <cellStyle name="40% - Accent5 2 4 2 2" xfId="18232"/>
    <cellStyle name="40% - Accent5 2 4 2 3" xfId="18233"/>
    <cellStyle name="40% - Accent5 2 4 2 4" xfId="18234"/>
    <cellStyle name="40% - Accent5 2 4 3" xfId="18235"/>
    <cellStyle name="40% - Accent5 2 4 4" xfId="18236"/>
    <cellStyle name="40% - Accent5 2 4 5" xfId="18237"/>
    <cellStyle name="40% - Accent5 2 4 6" xfId="18238"/>
    <cellStyle name="40% - Accent5 2 5" xfId="483"/>
    <cellStyle name="40% - Accent5 2 5 2" xfId="18239"/>
    <cellStyle name="40% - Accent5 2 5 2 2" xfId="18240"/>
    <cellStyle name="40% - Accent5 2 5 2 3" xfId="18241"/>
    <cellStyle name="40% - Accent5 2 5 2 4" xfId="18242"/>
    <cellStyle name="40% - Accent5 2 5 3" xfId="18243"/>
    <cellStyle name="40% - Accent5 2 5 4" xfId="18244"/>
    <cellStyle name="40% - Accent5 2 5 5" xfId="18245"/>
    <cellStyle name="40% - Accent5 2 5 6" xfId="18246"/>
    <cellStyle name="40% - Accent5 2 6" xfId="18247"/>
    <cellStyle name="40% - Accent5 2 6 2" xfId="18248"/>
    <cellStyle name="40% - Accent5 2 6 3" xfId="18249"/>
    <cellStyle name="40% - Accent5 2 6 4" xfId="18250"/>
    <cellStyle name="40% - Accent5 2 7" xfId="18251"/>
    <cellStyle name="40% - Accent5 2 8" xfId="18252"/>
    <cellStyle name="40% - Accent5 2 9" xfId="18253"/>
    <cellStyle name="40% - Accent5 3" xfId="484"/>
    <cellStyle name="40% - Accent5 3 10" xfId="18254"/>
    <cellStyle name="40% - Accent5 3 11" xfId="18255"/>
    <cellStyle name="40% - Accent5 3 2" xfId="485"/>
    <cellStyle name="40% - Accent5 3 2 2" xfId="486"/>
    <cellStyle name="40% - Accent5 3 2 2 2" xfId="487"/>
    <cellStyle name="40% - Accent5 3 2 2 2 2" xfId="18256"/>
    <cellStyle name="40% - Accent5 3 2 2 2 2 2" xfId="18257"/>
    <cellStyle name="40% - Accent5 3 2 2 2 2 3" xfId="18258"/>
    <cellStyle name="40% - Accent5 3 2 2 2 2 4" xfId="18259"/>
    <cellStyle name="40% - Accent5 3 2 2 2 3" xfId="18260"/>
    <cellStyle name="40% - Accent5 3 2 2 2 4" xfId="18261"/>
    <cellStyle name="40% - Accent5 3 2 2 2 5" xfId="18262"/>
    <cellStyle name="40% - Accent5 3 2 2 3" xfId="488"/>
    <cellStyle name="40% - Accent5 3 2 2 3 2" xfId="18263"/>
    <cellStyle name="40% - Accent5 3 2 2 3 2 2" xfId="18264"/>
    <cellStyle name="40% - Accent5 3 2 2 3 2 3" xfId="18265"/>
    <cellStyle name="40% - Accent5 3 2 2 3 2 4" xfId="18266"/>
    <cellStyle name="40% - Accent5 3 2 2 3 3" xfId="18267"/>
    <cellStyle name="40% - Accent5 3 2 2 3 4" xfId="18268"/>
    <cellStyle name="40% - Accent5 3 2 2 3 5" xfId="18269"/>
    <cellStyle name="40% - Accent5 3 2 2 4" xfId="18270"/>
    <cellStyle name="40% - Accent5 3 2 2 4 2" xfId="18271"/>
    <cellStyle name="40% - Accent5 3 2 2 4 3" xfId="18272"/>
    <cellStyle name="40% - Accent5 3 2 2 4 4" xfId="18273"/>
    <cellStyle name="40% - Accent5 3 2 2 5" xfId="18274"/>
    <cellStyle name="40% - Accent5 3 2 2 6" xfId="18275"/>
    <cellStyle name="40% - Accent5 3 2 2 7" xfId="18276"/>
    <cellStyle name="40% - Accent5 3 2 3" xfId="489"/>
    <cellStyle name="40% - Accent5 3 2 3 2" xfId="18277"/>
    <cellStyle name="40% - Accent5 3 2 3 2 2" xfId="18278"/>
    <cellStyle name="40% - Accent5 3 2 3 2 3" xfId="18279"/>
    <cellStyle name="40% - Accent5 3 2 3 2 4" xfId="18280"/>
    <cellStyle name="40% - Accent5 3 2 3 3" xfId="18281"/>
    <cellStyle name="40% - Accent5 3 2 3 4" xfId="18282"/>
    <cellStyle name="40% - Accent5 3 2 3 5" xfId="18283"/>
    <cellStyle name="40% - Accent5 3 2 4" xfId="490"/>
    <cellStyle name="40% - Accent5 3 2 4 2" xfId="18284"/>
    <cellStyle name="40% - Accent5 3 2 4 2 2" xfId="18285"/>
    <cellStyle name="40% - Accent5 3 2 4 2 3" xfId="18286"/>
    <cellStyle name="40% - Accent5 3 2 4 2 4" xfId="18287"/>
    <cellStyle name="40% - Accent5 3 2 4 3" xfId="18288"/>
    <cellStyle name="40% - Accent5 3 2 4 4" xfId="18289"/>
    <cellStyle name="40% - Accent5 3 2 4 5" xfId="18290"/>
    <cellStyle name="40% - Accent5 3 2 5" xfId="18291"/>
    <cellStyle name="40% - Accent5 3 2 5 2" xfId="18292"/>
    <cellStyle name="40% - Accent5 3 2 5 3" xfId="18293"/>
    <cellStyle name="40% - Accent5 3 2 5 4" xfId="18294"/>
    <cellStyle name="40% - Accent5 3 2 6" xfId="18295"/>
    <cellStyle name="40% - Accent5 3 2 7" xfId="18296"/>
    <cellStyle name="40% - Accent5 3 2 8" xfId="18297"/>
    <cellStyle name="40% - Accent5 3 3" xfId="491"/>
    <cellStyle name="40% - Accent5 3 3 2" xfId="492"/>
    <cellStyle name="40% - Accent5 3 3 2 2" xfId="18298"/>
    <cellStyle name="40% - Accent5 3 3 2 2 2" xfId="18299"/>
    <cellStyle name="40% - Accent5 3 3 2 2 3" xfId="18300"/>
    <cellStyle name="40% - Accent5 3 3 2 2 4" xfId="18301"/>
    <cellStyle name="40% - Accent5 3 3 2 3" xfId="18302"/>
    <cellStyle name="40% - Accent5 3 3 2 4" xfId="18303"/>
    <cellStyle name="40% - Accent5 3 3 2 5" xfId="18304"/>
    <cellStyle name="40% - Accent5 3 3 3" xfId="493"/>
    <cellStyle name="40% - Accent5 3 3 3 2" xfId="18305"/>
    <cellStyle name="40% - Accent5 3 3 3 2 2" xfId="18306"/>
    <cellStyle name="40% - Accent5 3 3 3 2 3" xfId="18307"/>
    <cellStyle name="40% - Accent5 3 3 3 2 4" xfId="18308"/>
    <cellStyle name="40% - Accent5 3 3 3 3" xfId="18309"/>
    <cellStyle name="40% - Accent5 3 3 3 4" xfId="18310"/>
    <cellStyle name="40% - Accent5 3 3 3 5" xfId="18311"/>
    <cellStyle name="40% - Accent5 3 3 4" xfId="18312"/>
    <cellStyle name="40% - Accent5 3 3 4 2" xfId="18313"/>
    <cellStyle name="40% - Accent5 3 3 4 3" xfId="18314"/>
    <cellStyle name="40% - Accent5 3 3 4 4" xfId="18315"/>
    <cellStyle name="40% - Accent5 3 3 5" xfId="18316"/>
    <cellStyle name="40% - Accent5 3 3 6" xfId="18317"/>
    <cellStyle name="40% - Accent5 3 3 7" xfId="18318"/>
    <cellStyle name="40% - Accent5 3 4" xfId="494"/>
    <cellStyle name="40% - Accent5 3 4 2" xfId="18319"/>
    <cellStyle name="40% - Accent5 3 4 2 2" xfId="18320"/>
    <cellStyle name="40% - Accent5 3 4 2 3" xfId="18321"/>
    <cellStyle name="40% - Accent5 3 4 2 4" xfId="18322"/>
    <cellStyle name="40% - Accent5 3 4 3" xfId="18323"/>
    <cellStyle name="40% - Accent5 3 4 4" xfId="18324"/>
    <cellStyle name="40% - Accent5 3 4 5" xfId="18325"/>
    <cellStyle name="40% - Accent5 3 5" xfId="495"/>
    <cellStyle name="40% - Accent5 3 5 2" xfId="18326"/>
    <cellStyle name="40% - Accent5 3 5 2 2" xfId="18327"/>
    <cellStyle name="40% - Accent5 3 5 2 3" xfId="18328"/>
    <cellStyle name="40% - Accent5 3 5 2 4" xfId="18329"/>
    <cellStyle name="40% - Accent5 3 5 3" xfId="18330"/>
    <cellStyle name="40% - Accent5 3 5 4" xfId="18331"/>
    <cellStyle name="40% - Accent5 3 5 5" xfId="18332"/>
    <cellStyle name="40% - Accent5 3 6" xfId="18333"/>
    <cellStyle name="40% - Accent5 3 6 2" xfId="18334"/>
    <cellStyle name="40% - Accent5 3 6 3" xfId="18335"/>
    <cellStyle name="40% - Accent5 3 6 4" xfId="18336"/>
    <cellStyle name="40% - Accent5 3 7" xfId="18337"/>
    <cellStyle name="40% - Accent5 3 8" xfId="18338"/>
    <cellStyle name="40% - Accent5 3 9" xfId="18339"/>
    <cellStyle name="40% - Accent5 4" xfId="496"/>
    <cellStyle name="40% - Accent5 4 10" xfId="18340"/>
    <cellStyle name="40% - Accent5 4 11" xfId="18341"/>
    <cellStyle name="40% - Accent5 4 2" xfId="497"/>
    <cellStyle name="40% - Accent5 4 2 2" xfId="498"/>
    <cellStyle name="40% - Accent5 4 2 2 2" xfId="499"/>
    <cellStyle name="40% - Accent5 4 2 2 2 2" xfId="18342"/>
    <cellStyle name="40% - Accent5 4 2 2 2 2 2" xfId="18343"/>
    <cellStyle name="40% - Accent5 4 2 2 2 2 3" xfId="18344"/>
    <cellStyle name="40% - Accent5 4 2 2 2 2 4" xfId="18345"/>
    <cellStyle name="40% - Accent5 4 2 2 2 3" xfId="18346"/>
    <cellStyle name="40% - Accent5 4 2 2 2 4" xfId="18347"/>
    <cellStyle name="40% - Accent5 4 2 2 2 5" xfId="18348"/>
    <cellStyle name="40% - Accent5 4 2 2 3" xfId="500"/>
    <cellStyle name="40% - Accent5 4 2 2 3 2" xfId="18349"/>
    <cellStyle name="40% - Accent5 4 2 2 3 2 2" xfId="18350"/>
    <cellStyle name="40% - Accent5 4 2 2 3 2 3" xfId="18351"/>
    <cellStyle name="40% - Accent5 4 2 2 3 2 4" xfId="18352"/>
    <cellStyle name="40% - Accent5 4 2 2 3 3" xfId="18353"/>
    <cellStyle name="40% - Accent5 4 2 2 3 4" xfId="18354"/>
    <cellStyle name="40% - Accent5 4 2 2 3 5" xfId="18355"/>
    <cellStyle name="40% - Accent5 4 2 2 4" xfId="18356"/>
    <cellStyle name="40% - Accent5 4 2 2 4 2" xfId="18357"/>
    <cellStyle name="40% - Accent5 4 2 2 4 3" xfId="18358"/>
    <cellStyle name="40% - Accent5 4 2 2 4 4" xfId="18359"/>
    <cellStyle name="40% - Accent5 4 2 2 5" xfId="18360"/>
    <cellStyle name="40% - Accent5 4 2 2 6" xfId="18361"/>
    <cellStyle name="40% - Accent5 4 2 2 7" xfId="18362"/>
    <cellStyle name="40% - Accent5 4 2 3" xfId="501"/>
    <cellStyle name="40% - Accent5 4 2 3 2" xfId="18363"/>
    <cellStyle name="40% - Accent5 4 2 3 2 2" xfId="18364"/>
    <cellStyle name="40% - Accent5 4 2 3 2 3" xfId="18365"/>
    <cellStyle name="40% - Accent5 4 2 3 2 4" xfId="18366"/>
    <cellStyle name="40% - Accent5 4 2 3 3" xfId="18367"/>
    <cellStyle name="40% - Accent5 4 2 3 4" xfId="18368"/>
    <cellStyle name="40% - Accent5 4 2 3 5" xfId="18369"/>
    <cellStyle name="40% - Accent5 4 2 4" xfId="502"/>
    <cellStyle name="40% - Accent5 4 2 4 2" xfId="18370"/>
    <cellStyle name="40% - Accent5 4 2 4 2 2" xfId="18371"/>
    <cellStyle name="40% - Accent5 4 2 4 2 3" xfId="18372"/>
    <cellStyle name="40% - Accent5 4 2 4 2 4" xfId="18373"/>
    <cellStyle name="40% - Accent5 4 2 4 3" xfId="18374"/>
    <cellStyle name="40% - Accent5 4 2 4 4" xfId="18375"/>
    <cellStyle name="40% - Accent5 4 2 4 5" xfId="18376"/>
    <cellStyle name="40% - Accent5 4 2 5" xfId="18377"/>
    <cellStyle name="40% - Accent5 4 2 5 2" xfId="18378"/>
    <cellStyle name="40% - Accent5 4 2 5 3" xfId="18379"/>
    <cellStyle name="40% - Accent5 4 2 5 4" xfId="18380"/>
    <cellStyle name="40% - Accent5 4 2 6" xfId="18381"/>
    <cellStyle name="40% - Accent5 4 2 7" xfId="18382"/>
    <cellStyle name="40% - Accent5 4 2 8" xfId="18383"/>
    <cellStyle name="40% - Accent5 4 3" xfId="503"/>
    <cellStyle name="40% - Accent5 4 3 2" xfId="504"/>
    <cellStyle name="40% - Accent5 4 3 2 2" xfId="18384"/>
    <cellStyle name="40% - Accent5 4 3 2 2 2" xfId="18385"/>
    <cellStyle name="40% - Accent5 4 3 2 2 3" xfId="18386"/>
    <cellStyle name="40% - Accent5 4 3 2 2 4" xfId="18387"/>
    <cellStyle name="40% - Accent5 4 3 2 3" xfId="18388"/>
    <cellStyle name="40% - Accent5 4 3 2 4" xfId="18389"/>
    <cellStyle name="40% - Accent5 4 3 2 5" xfId="18390"/>
    <cellStyle name="40% - Accent5 4 3 3" xfId="505"/>
    <cellStyle name="40% - Accent5 4 3 3 2" xfId="18391"/>
    <cellStyle name="40% - Accent5 4 3 3 2 2" xfId="18392"/>
    <cellStyle name="40% - Accent5 4 3 3 2 3" xfId="18393"/>
    <cellStyle name="40% - Accent5 4 3 3 2 4" xfId="18394"/>
    <cellStyle name="40% - Accent5 4 3 3 3" xfId="18395"/>
    <cellStyle name="40% - Accent5 4 3 3 4" xfId="18396"/>
    <cellStyle name="40% - Accent5 4 3 3 5" xfId="18397"/>
    <cellStyle name="40% - Accent5 4 3 4" xfId="18398"/>
    <cellStyle name="40% - Accent5 4 3 4 2" xfId="18399"/>
    <cellStyle name="40% - Accent5 4 3 4 3" xfId="18400"/>
    <cellStyle name="40% - Accent5 4 3 4 4" xfId="18401"/>
    <cellStyle name="40% - Accent5 4 3 5" xfId="18402"/>
    <cellStyle name="40% - Accent5 4 3 6" xfId="18403"/>
    <cellStyle name="40% - Accent5 4 3 7" xfId="18404"/>
    <cellStyle name="40% - Accent5 4 4" xfId="506"/>
    <cellStyle name="40% - Accent5 4 4 2" xfId="18405"/>
    <cellStyle name="40% - Accent5 4 4 2 2" xfId="18406"/>
    <cellStyle name="40% - Accent5 4 4 2 3" xfId="18407"/>
    <cellStyle name="40% - Accent5 4 4 2 4" xfId="18408"/>
    <cellStyle name="40% - Accent5 4 4 3" xfId="18409"/>
    <cellStyle name="40% - Accent5 4 4 4" xfId="18410"/>
    <cellStyle name="40% - Accent5 4 4 5" xfId="18411"/>
    <cellStyle name="40% - Accent5 4 5" xfId="507"/>
    <cellStyle name="40% - Accent5 4 5 2" xfId="18412"/>
    <cellStyle name="40% - Accent5 4 5 2 2" xfId="18413"/>
    <cellStyle name="40% - Accent5 4 5 2 3" xfId="18414"/>
    <cellStyle name="40% - Accent5 4 5 2 4" xfId="18415"/>
    <cellStyle name="40% - Accent5 4 5 3" xfId="18416"/>
    <cellStyle name="40% - Accent5 4 5 4" xfId="18417"/>
    <cellStyle name="40% - Accent5 4 5 5" xfId="18418"/>
    <cellStyle name="40% - Accent5 4 6" xfId="18419"/>
    <cellStyle name="40% - Accent5 4 6 2" xfId="18420"/>
    <cellStyle name="40% - Accent5 4 6 3" xfId="18421"/>
    <cellStyle name="40% - Accent5 4 6 4" xfId="18422"/>
    <cellStyle name="40% - Accent5 4 7" xfId="18423"/>
    <cellStyle name="40% - Accent5 4 8" xfId="18424"/>
    <cellStyle name="40% - Accent5 4 9" xfId="18425"/>
    <cellStyle name="40% - Accent5 5" xfId="508"/>
    <cellStyle name="40% - Accent5 5 10" xfId="18426"/>
    <cellStyle name="40% - Accent5 5 2" xfId="509"/>
    <cellStyle name="40% - Accent5 5 2 2" xfId="510"/>
    <cellStyle name="40% - Accent5 5 2 2 2" xfId="18427"/>
    <cellStyle name="40% - Accent5 5 2 2 2 2" xfId="18428"/>
    <cellStyle name="40% - Accent5 5 2 2 2 3" xfId="18429"/>
    <cellStyle name="40% - Accent5 5 2 2 2 4" xfId="18430"/>
    <cellStyle name="40% - Accent5 5 2 2 3" xfId="18431"/>
    <cellStyle name="40% - Accent5 5 2 2 4" xfId="18432"/>
    <cellStyle name="40% - Accent5 5 2 2 5" xfId="18433"/>
    <cellStyle name="40% - Accent5 5 2 3" xfId="511"/>
    <cellStyle name="40% - Accent5 5 2 3 2" xfId="18434"/>
    <cellStyle name="40% - Accent5 5 2 3 2 2" xfId="18435"/>
    <cellStyle name="40% - Accent5 5 2 3 2 3" xfId="18436"/>
    <cellStyle name="40% - Accent5 5 2 3 2 4" xfId="18437"/>
    <cellStyle name="40% - Accent5 5 2 3 3" xfId="18438"/>
    <cellStyle name="40% - Accent5 5 2 3 4" xfId="18439"/>
    <cellStyle name="40% - Accent5 5 2 3 5" xfId="18440"/>
    <cellStyle name="40% - Accent5 5 2 4" xfId="18441"/>
    <cellStyle name="40% - Accent5 5 2 4 2" xfId="18442"/>
    <cellStyle name="40% - Accent5 5 2 4 3" xfId="18443"/>
    <cellStyle name="40% - Accent5 5 2 4 4" xfId="18444"/>
    <cellStyle name="40% - Accent5 5 2 5" xfId="18445"/>
    <cellStyle name="40% - Accent5 5 2 6" xfId="18446"/>
    <cellStyle name="40% - Accent5 5 2 7" xfId="18447"/>
    <cellStyle name="40% - Accent5 5 3" xfId="512"/>
    <cellStyle name="40% - Accent5 5 3 2" xfId="18448"/>
    <cellStyle name="40% - Accent5 5 3 2 2" xfId="18449"/>
    <cellStyle name="40% - Accent5 5 3 2 3" xfId="18450"/>
    <cellStyle name="40% - Accent5 5 3 2 4" xfId="18451"/>
    <cellStyle name="40% - Accent5 5 3 3" xfId="18452"/>
    <cellStyle name="40% - Accent5 5 3 4" xfId="18453"/>
    <cellStyle name="40% - Accent5 5 3 5" xfId="18454"/>
    <cellStyle name="40% - Accent5 5 4" xfId="513"/>
    <cellStyle name="40% - Accent5 5 4 2" xfId="18455"/>
    <cellStyle name="40% - Accent5 5 4 2 2" xfId="18456"/>
    <cellStyle name="40% - Accent5 5 4 2 3" xfId="18457"/>
    <cellStyle name="40% - Accent5 5 4 2 4" xfId="18458"/>
    <cellStyle name="40% - Accent5 5 4 3" xfId="18459"/>
    <cellStyle name="40% - Accent5 5 4 4" xfId="18460"/>
    <cellStyle name="40% - Accent5 5 4 5" xfId="18461"/>
    <cellStyle name="40% - Accent5 5 5" xfId="18462"/>
    <cellStyle name="40% - Accent5 5 5 2" xfId="18463"/>
    <cellStyle name="40% - Accent5 5 5 3" xfId="18464"/>
    <cellStyle name="40% - Accent5 5 5 4" xfId="18465"/>
    <cellStyle name="40% - Accent5 5 6" xfId="18466"/>
    <cellStyle name="40% - Accent5 5 7" xfId="18467"/>
    <cellStyle name="40% - Accent5 5 8" xfId="18468"/>
    <cellStyle name="40% - Accent5 5 9" xfId="18469"/>
    <cellStyle name="40% - Accent5 6" xfId="514"/>
    <cellStyle name="40% - Accent5 6 2" xfId="515"/>
    <cellStyle name="40% - Accent5 6 2 2" xfId="18470"/>
    <cellStyle name="40% - Accent5 6 2 2 2" xfId="18471"/>
    <cellStyle name="40% - Accent5 6 2 2 3" xfId="18472"/>
    <cellStyle name="40% - Accent5 6 2 2 4" xfId="18473"/>
    <cellStyle name="40% - Accent5 6 2 3" xfId="18474"/>
    <cellStyle name="40% - Accent5 6 2 4" xfId="18475"/>
    <cellStyle name="40% - Accent5 6 2 5" xfId="18476"/>
    <cellStyle name="40% - Accent5 6 3" xfId="516"/>
    <cellStyle name="40% - Accent5 6 3 2" xfId="18477"/>
    <cellStyle name="40% - Accent5 6 3 2 2" xfId="18478"/>
    <cellStyle name="40% - Accent5 6 3 2 3" xfId="18479"/>
    <cellStyle name="40% - Accent5 6 3 2 4" xfId="18480"/>
    <cellStyle name="40% - Accent5 6 3 3" xfId="18481"/>
    <cellStyle name="40% - Accent5 6 3 4" xfId="18482"/>
    <cellStyle name="40% - Accent5 6 3 5" xfId="18483"/>
    <cellStyle name="40% - Accent5 6 4" xfId="18484"/>
    <cellStyle name="40% - Accent5 6 4 2" xfId="18485"/>
    <cellStyle name="40% - Accent5 6 4 3" xfId="18486"/>
    <cellStyle name="40% - Accent5 6 4 4" xfId="18487"/>
    <cellStyle name="40% - Accent5 6 5" xfId="18488"/>
    <cellStyle name="40% - Accent5 6 6" xfId="18489"/>
    <cellStyle name="40% - Accent5 6 7" xfId="18490"/>
    <cellStyle name="40% - Accent5 6 8" xfId="18491"/>
    <cellStyle name="40% - Accent5 6 9" xfId="18492"/>
    <cellStyle name="40% - Accent5 7" xfId="517"/>
    <cellStyle name="40% - Accent5 7 2" xfId="18493"/>
    <cellStyle name="40% - Accent5 7 2 2" xfId="18494"/>
    <cellStyle name="40% - Accent5 7 2 3" xfId="18495"/>
    <cellStyle name="40% - Accent5 7 2 4" xfId="18496"/>
    <cellStyle name="40% - Accent5 7 3" xfId="18497"/>
    <cellStyle name="40% - Accent5 7 4" xfId="18498"/>
    <cellStyle name="40% - Accent5 7 5" xfId="18499"/>
    <cellStyle name="40% - Accent5 7 6" xfId="18500"/>
    <cellStyle name="40% - Accent5 7 7" xfId="18501"/>
    <cellStyle name="40% - Accent5 7 8" xfId="18502"/>
    <cellStyle name="40% - Accent5 8" xfId="518"/>
    <cellStyle name="40% - Accent5 8 2" xfId="18503"/>
    <cellStyle name="40% - Accent5 8 2 2" xfId="18504"/>
    <cellStyle name="40% - Accent5 8 2 3" xfId="18505"/>
    <cellStyle name="40% - Accent5 8 2 4" xfId="18506"/>
    <cellStyle name="40% - Accent5 8 3" xfId="18507"/>
    <cellStyle name="40% - Accent5 8 4" xfId="18508"/>
    <cellStyle name="40% - Accent5 8 5" xfId="18509"/>
    <cellStyle name="40% - Accent5 8 6" xfId="18510"/>
    <cellStyle name="40% - Accent5 8 7" xfId="18511"/>
    <cellStyle name="40% - Accent5 8 8" xfId="18512"/>
    <cellStyle name="40% - Accent5 9" xfId="18513"/>
    <cellStyle name="40% - Accent5 9 2" xfId="18514"/>
    <cellStyle name="40% - Accent5 9 3" xfId="18515"/>
    <cellStyle name="40% - Accent5 9 4" xfId="18516"/>
    <cellStyle name="40% - Accent5 9 5" xfId="18517"/>
    <cellStyle name="40% - Accent5 9 6" xfId="18518"/>
    <cellStyle name="40% - Accent6 10" xfId="18519"/>
    <cellStyle name="40% - Accent6 10 2" xfId="18520"/>
    <cellStyle name="40% - Accent6 10 3" xfId="18521"/>
    <cellStyle name="40% - Accent6 10 4" xfId="18522"/>
    <cellStyle name="40% - Accent6 10 5" xfId="18523"/>
    <cellStyle name="40% - Accent6 11" xfId="18524"/>
    <cellStyle name="40% - Accent6 11 2" xfId="18525"/>
    <cellStyle name="40% - Accent6 11 3" xfId="18526"/>
    <cellStyle name="40% - Accent6 12" xfId="18527"/>
    <cellStyle name="40% - Accent6 13" xfId="18528"/>
    <cellStyle name="40% - Accent6 13 2" xfId="18529"/>
    <cellStyle name="40% - Accent6 13 3" xfId="18530"/>
    <cellStyle name="40% - Accent6 14" xfId="18531"/>
    <cellStyle name="40% - Accent6 15" xfId="40138"/>
    <cellStyle name="40% - Accent6 16" xfId="40139"/>
    <cellStyle name="40% - Accent6 17" xfId="40140"/>
    <cellStyle name="40% - Accent6 2" xfId="519"/>
    <cellStyle name="40% - Accent6 2 10" xfId="18532"/>
    <cellStyle name="40% - Accent6 2 11" xfId="18533"/>
    <cellStyle name="40% - Accent6 2 12" xfId="18534"/>
    <cellStyle name="40% - Accent6 2 2" xfId="520"/>
    <cellStyle name="40% - Accent6 2 2 2" xfId="521"/>
    <cellStyle name="40% - Accent6 2 2 2 2" xfId="522"/>
    <cellStyle name="40% - Accent6 2 2 2 2 2" xfId="18535"/>
    <cellStyle name="40% - Accent6 2 2 2 2 2 2" xfId="18536"/>
    <cellStyle name="40% - Accent6 2 2 2 2 2 3" xfId="18537"/>
    <cellStyle name="40% - Accent6 2 2 2 2 2 4" xfId="18538"/>
    <cellStyle name="40% - Accent6 2 2 2 2 3" xfId="18539"/>
    <cellStyle name="40% - Accent6 2 2 2 2 4" xfId="18540"/>
    <cellStyle name="40% - Accent6 2 2 2 2 5" xfId="18541"/>
    <cellStyle name="40% - Accent6 2 2 2 3" xfId="523"/>
    <cellStyle name="40% - Accent6 2 2 2 3 2" xfId="18542"/>
    <cellStyle name="40% - Accent6 2 2 2 3 2 2" xfId="18543"/>
    <cellStyle name="40% - Accent6 2 2 2 3 2 3" xfId="18544"/>
    <cellStyle name="40% - Accent6 2 2 2 3 2 4" xfId="18545"/>
    <cellStyle name="40% - Accent6 2 2 2 3 3" xfId="18546"/>
    <cellStyle name="40% - Accent6 2 2 2 3 4" xfId="18547"/>
    <cellStyle name="40% - Accent6 2 2 2 3 5" xfId="18548"/>
    <cellStyle name="40% - Accent6 2 2 2 4" xfId="18549"/>
    <cellStyle name="40% - Accent6 2 2 2 4 2" xfId="18550"/>
    <cellStyle name="40% - Accent6 2 2 2 4 3" xfId="18551"/>
    <cellStyle name="40% - Accent6 2 2 2 4 4" xfId="18552"/>
    <cellStyle name="40% - Accent6 2 2 2 5" xfId="18553"/>
    <cellStyle name="40% - Accent6 2 2 2 6" xfId="18554"/>
    <cellStyle name="40% - Accent6 2 2 2 7" xfId="18555"/>
    <cellStyle name="40% - Accent6 2 2 3" xfId="524"/>
    <cellStyle name="40% - Accent6 2 2 3 2" xfId="18556"/>
    <cellStyle name="40% - Accent6 2 2 3 2 2" xfId="18557"/>
    <cellStyle name="40% - Accent6 2 2 3 2 3" xfId="18558"/>
    <cellStyle name="40% - Accent6 2 2 3 2 4" xfId="18559"/>
    <cellStyle name="40% - Accent6 2 2 3 3" xfId="18560"/>
    <cellStyle name="40% - Accent6 2 2 3 4" xfId="18561"/>
    <cellStyle name="40% - Accent6 2 2 3 5" xfId="18562"/>
    <cellStyle name="40% - Accent6 2 2 4" xfId="525"/>
    <cellStyle name="40% - Accent6 2 2 4 2" xfId="18563"/>
    <cellStyle name="40% - Accent6 2 2 4 2 2" xfId="18564"/>
    <cellStyle name="40% - Accent6 2 2 4 2 3" xfId="18565"/>
    <cellStyle name="40% - Accent6 2 2 4 2 4" xfId="18566"/>
    <cellStyle name="40% - Accent6 2 2 4 3" xfId="18567"/>
    <cellStyle name="40% - Accent6 2 2 4 4" xfId="18568"/>
    <cellStyle name="40% - Accent6 2 2 4 5" xfId="18569"/>
    <cellStyle name="40% - Accent6 2 2 5" xfId="18570"/>
    <cellStyle name="40% - Accent6 2 2 5 2" xfId="18571"/>
    <cellStyle name="40% - Accent6 2 2 5 3" xfId="18572"/>
    <cellStyle name="40% - Accent6 2 2 5 4" xfId="18573"/>
    <cellStyle name="40% - Accent6 2 2 6" xfId="18574"/>
    <cellStyle name="40% - Accent6 2 2 7" xfId="18575"/>
    <cellStyle name="40% - Accent6 2 2 8" xfId="18576"/>
    <cellStyle name="40% - Accent6 2 2 9" xfId="18577"/>
    <cellStyle name="40% - Accent6 2 3" xfId="526"/>
    <cellStyle name="40% - Accent6 2 3 2" xfId="527"/>
    <cellStyle name="40% - Accent6 2 3 2 2" xfId="18578"/>
    <cellStyle name="40% - Accent6 2 3 2 2 2" xfId="18579"/>
    <cellStyle name="40% - Accent6 2 3 2 2 3" xfId="18580"/>
    <cellStyle name="40% - Accent6 2 3 2 2 4" xfId="18581"/>
    <cellStyle name="40% - Accent6 2 3 2 3" xfId="18582"/>
    <cellStyle name="40% - Accent6 2 3 2 4" xfId="18583"/>
    <cellStyle name="40% - Accent6 2 3 2 5" xfId="18584"/>
    <cellStyle name="40% - Accent6 2 3 3" xfId="528"/>
    <cellStyle name="40% - Accent6 2 3 3 2" xfId="18585"/>
    <cellStyle name="40% - Accent6 2 3 3 2 2" xfId="18586"/>
    <cellStyle name="40% - Accent6 2 3 3 2 3" xfId="18587"/>
    <cellStyle name="40% - Accent6 2 3 3 2 4" xfId="18588"/>
    <cellStyle name="40% - Accent6 2 3 3 3" xfId="18589"/>
    <cellStyle name="40% - Accent6 2 3 3 4" xfId="18590"/>
    <cellStyle name="40% - Accent6 2 3 3 5" xfId="18591"/>
    <cellStyle name="40% - Accent6 2 3 4" xfId="18592"/>
    <cellStyle name="40% - Accent6 2 3 4 2" xfId="18593"/>
    <cellStyle name="40% - Accent6 2 3 4 3" xfId="18594"/>
    <cellStyle name="40% - Accent6 2 3 4 4" xfId="18595"/>
    <cellStyle name="40% - Accent6 2 3 5" xfId="18596"/>
    <cellStyle name="40% - Accent6 2 3 6" xfId="18597"/>
    <cellStyle name="40% - Accent6 2 3 7" xfId="18598"/>
    <cellStyle name="40% - Accent6 2 3 8" xfId="18599"/>
    <cellStyle name="40% - Accent6 2 4" xfId="529"/>
    <cellStyle name="40% - Accent6 2 4 2" xfId="18600"/>
    <cellStyle name="40% - Accent6 2 4 2 2" xfId="18601"/>
    <cellStyle name="40% - Accent6 2 4 2 3" xfId="18602"/>
    <cellStyle name="40% - Accent6 2 4 2 4" xfId="18603"/>
    <cellStyle name="40% - Accent6 2 4 3" xfId="18604"/>
    <cellStyle name="40% - Accent6 2 4 4" xfId="18605"/>
    <cellStyle name="40% - Accent6 2 4 5" xfId="18606"/>
    <cellStyle name="40% - Accent6 2 4 6" xfId="18607"/>
    <cellStyle name="40% - Accent6 2 5" xfId="530"/>
    <cellStyle name="40% - Accent6 2 5 2" xfId="18608"/>
    <cellStyle name="40% - Accent6 2 5 2 2" xfId="18609"/>
    <cellStyle name="40% - Accent6 2 5 2 3" xfId="18610"/>
    <cellStyle name="40% - Accent6 2 5 2 4" xfId="18611"/>
    <cellStyle name="40% - Accent6 2 5 3" xfId="18612"/>
    <cellStyle name="40% - Accent6 2 5 4" xfId="18613"/>
    <cellStyle name="40% - Accent6 2 5 5" xfId="18614"/>
    <cellStyle name="40% - Accent6 2 5 6" xfId="18615"/>
    <cellStyle name="40% - Accent6 2 6" xfId="18616"/>
    <cellStyle name="40% - Accent6 2 6 2" xfId="18617"/>
    <cellStyle name="40% - Accent6 2 6 3" xfId="18618"/>
    <cellStyle name="40% - Accent6 2 6 4" xfId="18619"/>
    <cellStyle name="40% - Accent6 2 7" xfId="18620"/>
    <cellStyle name="40% - Accent6 2 8" xfId="18621"/>
    <cellStyle name="40% - Accent6 2 9" xfId="18622"/>
    <cellStyle name="40% - Accent6 3" xfId="531"/>
    <cellStyle name="40% - Accent6 3 10" xfId="18623"/>
    <cellStyle name="40% - Accent6 3 11" xfId="18624"/>
    <cellStyle name="40% - Accent6 3 2" xfId="532"/>
    <cellStyle name="40% - Accent6 3 2 2" xfId="533"/>
    <cellStyle name="40% - Accent6 3 2 2 2" xfId="534"/>
    <cellStyle name="40% - Accent6 3 2 2 2 2" xfId="18625"/>
    <cellStyle name="40% - Accent6 3 2 2 2 2 2" xfId="18626"/>
    <cellStyle name="40% - Accent6 3 2 2 2 2 3" xfId="18627"/>
    <cellStyle name="40% - Accent6 3 2 2 2 2 4" xfId="18628"/>
    <cellStyle name="40% - Accent6 3 2 2 2 3" xfId="18629"/>
    <cellStyle name="40% - Accent6 3 2 2 2 4" xfId="18630"/>
    <cellStyle name="40% - Accent6 3 2 2 2 5" xfId="18631"/>
    <cellStyle name="40% - Accent6 3 2 2 3" xfId="535"/>
    <cellStyle name="40% - Accent6 3 2 2 3 2" xfId="18632"/>
    <cellStyle name="40% - Accent6 3 2 2 3 2 2" xfId="18633"/>
    <cellStyle name="40% - Accent6 3 2 2 3 2 3" xfId="18634"/>
    <cellStyle name="40% - Accent6 3 2 2 3 2 4" xfId="18635"/>
    <cellStyle name="40% - Accent6 3 2 2 3 3" xfId="18636"/>
    <cellStyle name="40% - Accent6 3 2 2 3 4" xfId="18637"/>
    <cellStyle name="40% - Accent6 3 2 2 3 5" xfId="18638"/>
    <cellStyle name="40% - Accent6 3 2 2 4" xfId="18639"/>
    <cellStyle name="40% - Accent6 3 2 2 4 2" xfId="18640"/>
    <cellStyle name="40% - Accent6 3 2 2 4 3" xfId="18641"/>
    <cellStyle name="40% - Accent6 3 2 2 4 4" xfId="18642"/>
    <cellStyle name="40% - Accent6 3 2 2 5" xfId="18643"/>
    <cellStyle name="40% - Accent6 3 2 2 6" xfId="18644"/>
    <cellStyle name="40% - Accent6 3 2 2 7" xfId="18645"/>
    <cellStyle name="40% - Accent6 3 2 3" xfId="536"/>
    <cellStyle name="40% - Accent6 3 2 3 2" xfId="18646"/>
    <cellStyle name="40% - Accent6 3 2 3 2 2" xfId="18647"/>
    <cellStyle name="40% - Accent6 3 2 3 2 3" xfId="18648"/>
    <cellStyle name="40% - Accent6 3 2 3 2 4" xfId="18649"/>
    <cellStyle name="40% - Accent6 3 2 3 3" xfId="18650"/>
    <cellStyle name="40% - Accent6 3 2 3 4" xfId="18651"/>
    <cellStyle name="40% - Accent6 3 2 3 5" xfId="18652"/>
    <cellStyle name="40% - Accent6 3 2 4" xfId="537"/>
    <cellStyle name="40% - Accent6 3 2 4 2" xfId="18653"/>
    <cellStyle name="40% - Accent6 3 2 4 2 2" xfId="18654"/>
    <cellStyle name="40% - Accent6 3 2 4 2 3" xfId="18655"/>
    <cellStyle name="40% - Accent6 3 2 4 2 4" xfId="18656"/>
    <cellStyle name="40% - Accent6 3 2 4 3" xfId="18657"/>
    <cellStyle name="40% - Accent6 3 2 4 4" xfId="18658"/>
    <cellStyle name="40% - Accent6 3 2 4 5" xfId="18659"/>
    <cellStyle name="40% - Accent6 3 2 5" xfId="18660"/>
    <cellStyle name="40% - Accent6 3 2 5 2" xfId="18661"/>
    <cellStyle name="40% - Accent6 3 2 5 3" xfId="18662"/>
    <cellStyle name="40% - Accent6 3 2 5 4" xfId="18663"/>
    <cellStyle name="40% - Accent6 3 2 6" xfId="18664"/>
    <cellStyle name="40% - Accent6 3 2 7" xfId="18665"/>
    <cellStyle name="40% - Accent6 3 2 8" xfId="18666"/>
    <cellStyle name="40% - Accent6 3 3" xfId="538"/>
    <cellStyle name="40% - Accent6 3 3 2" xfId="539"/>
    <cellStyle name="40% - Accent6 3 3 2 2" xfId="18667"/>
    <cellStyle name="40% - Accent6 3 3 2 2 2" xfId="18668"/>
    <cellStyle name="40% - Accent6 3 3 2 2 3" xfId="18669"/>
    <cellStyle name="40% - Accent6 3 3 2 2 4" xfId="18670"/>
    <cellStyle name="40% - Accent6 3 3 2 3" xfId="18671"/>
    <cellStyle name="40% - Accent6 3 3 2 4" xfId="18672"/>
    <cellStyle name="40% - Accent6 3 3 2 5" xfId="18673"/>
    <cellStyle name="40% - Accent6 3 3 3" xfId="540"/>
    <cellStyle name="40% - Accent6 3 3 3 2" xfId="18674"/>
    <cellStyle name="40% - Accent6 3 3 3 2 2" xfId="18675"/>
    <cellStyle name="40% - Accent6 3 3 3 2 3" xfId="18676"/>
    <cellStyle name="40% - Accent6 3 3 3 2 4" xfId="18677"/>
    <cellStyle name="40% - Accent6 3 3 3 3" xfId="18678"/>
    <cellStyle name="40% - Accent6 3 3 3 4" xfId="18679"/>
    <cellStyle name="40% - Accent6 3 3 3 5" xfId="18680"/>
    <cellStyle name="40% - Accent6 3 3 4" xfId="18681"/>
    <cellStyle name="40% - Accent6 3 3 4 2" xfId="18682"/>
    <cellStyle name="40% - Accent6 3 3 4 3" xfId="18683"/>
    <cellStyle name="40% - Accent6 3 3 4 4" xfId="18684"/>
    <cellStyle name="40% - Accent6 3 3 5" xfId="18685"/>
    <cellStyle name="40% - Accent6 3 3 6" xfId="18686"/>
    <cellStyle name="40% - Accent6 3 3 7" xfId="18687"/>
    <cellStyle name="40% - Accent6 3 4" xfId="541"/>
    <cellStyle name="40% - Accent6 3 4 2" xfId="18688"/>
    <cellStyle name="40% - Accent6 3 4 2 2" xfId="18689"/>
    <cellStyle name="40% - Accent6 3 4 2 3" xfId="18690"/>
    <cellStyle name="40% - Accent6 3 4 2 4" xfId="18691"/>
    <cellStyle name="40% - Accent6 3 4 3" xfId="18692"/>
    <cellStyle name="40% - Accent6 3 4 4" xfId="18693"/>
    <cellStyle name="40% - Accent6 3 4 5" xfId="18694"/>
    <cellStyle name="40% - Accent6 3 5" xfId="542"/>
    <cellStyle name="40% - Accent6 3 5 2" xfId="18695"/>
    <cellStyle name="40% - Accent6 3 5 2 2" xfId="18696"/>
    <cellStyle name="40% - Accent6 3 5 2 3" xfId="18697"/>
    <cellStyle name="40% - Accent6 3 5 2 4" xfId="18698"/>
    <cellStyle name="40% - Accent6 3 5 3" xfId="18699"/>
    <cellStyle name="40% - Accent6 3 5 4" xfId="18700"/>
    <cellStyle name="40% - Accent6 3 5 5" xfId="18701"/>
    <cellStyle name="40% - Accent6 3 6" xfId="18702"/>
    <cellStyle name="40% - Accent6 3 6 2" xfId="18703"/>
    <cellStyle name="40% - Accent6 3 6 3" xfId="18704"/>
    <cellStyle name="40% - Accent6 3 6 4" xfId="18705"/>
    <cellStyle name="40% - Accent6 3 7" xfId="18706"/>
    <cellStyle name="40% - Accent6 3 8" xfId="18707"/>
    <cellStyle name="40% - Accent6 3 9" xfId="18708"/>
    <cellStyle name="40% - Accent6 4" xfId="543"/>
    <cellStyle name="40% - Accent6 4 10" xfId="18709"/>
    <cellStyle name="40% - Accent6 4 11" xfId="18710"/>
    <cellStyle name="40% - Accent6 4 2" xfId="544"/>
    <cellStyle name="40% - Accent6 4 2 2" xfId="545"/>
    <cellStyle name="40% - Accent6 4 2 2 2" xfId="546"/>
    <cellStyle name="40% - Accent6 4 2 2 2 2" xfId="18711"/>
    <cellStyle name="40% - Accent6 4 2 2 2 2 2" xfId="18712"/>
    <cellStyle name="40% - Accent6 4 2 2 2 2 3" xfId="18713"/>
    <cellStyle name="40% - Accent6 4 2 2 2 2 4" xfId="18714"/>
    <cellStyle name="40% - Accent6 4 2 2 2 3" xfId="18715"/>
    <cellStyle name="40% - Accent6 4 2 2 2 4" xfId="18716"/>
    <cellStyle name="40% - Accent6 4 2 2 2 5" xfId="18717"/>
    <cellStyle name="40% - Accent6 4 2 2 3" xfId="547"/>
    <cellStyle name="40% - Accent6 4 2 2 3 2" xfId="18718"/>
    <cellStyle name="40% - Accent6 4 2 2 3 2 2" xfId="18719"/>
    <cellStyle name="40% - Accent6 4 2 2 3 2 3" xfId="18720"/>
    <cellStyle name="40% - Accent6 4 2 2 3 2 4" xfId="18721"/>
    <cellStyle name="40% - Accent6 4 2 2 3 3" xfId="18722"/>
    <cellStyle name="40% - Accent6 4 2 2 3 4" xfId="18723"/>
    <cellStyle name="40% - Accent6 4 2 2 3 5" xfId="18724"/>
    <cellStyle name="40% - Accent6 4 2 2 4" xfId="18725"/>
    <cellStyle name="40% - Accent6 4 2 2 4 2" xfId="18726"/>
    <cellStyle name="40% - Accent6 4 2 2 4 3" xfId="18727"/>
    <cellStyle name="40% - Accent6 4 2 2 4 4" xfId="18728"/>
    <cellStyle name="40% - Accent6 4 2 2 5" xfId="18729"/>
    <cellStyle name="40% - Accent6 4 2 2 6" xfId="18730"/>
    <cellStyle name="40% - Accent6 4 2 2 7" xfId="18731"/>
    <cellStyle name="40% - Accent6 4 2 3" xfId="548"/>
    <cellStyle name="40% - Accent6 4 2 3 2" xfId="18732"/>
    <cellStyle name="40% - Accent6 4 2 3 2 2" xfId="18733"/>
    <cellStyle name="40% - Accent6 4 2 3 2 3" xfId="18734"/>
    <cellStyle name="40% - Accent6 4 2 3 2 4" xfId="18735"/>
    <cellStyle name="40% - Accent6 4 2 3 3" xfId="18736"/>
    <cellStyle name="40% - Accent6 4 2 3 4" xfId="18737"/>
    <cellStyle name="40% - Accent6 4 2 3 5" xfId="18738"/>
    <cellStyle name="40% - Accent6 4 2 4" xfId="549"/>
    <cellStyle name="40% - Accent6 4 2 4 2" xfId="18739"/>
    <cellStyle name="40% - Accent6 4 2 4 2 2" xfId="18740"/>
    <cellStyle name="40% - Accent6 4 2 4 2 3" xfId="18741"/>
    <cellStyle name="40% - Accent6 4 2 4 2 4" xfId="18742"/>
    <cellStyle name="40% - Accent6 4 2 4 3" xfId="18743"/>
    <cellStyle name="40% - Accent6 4 2 4 4" xfId="18744"/>
    <cellStyle name="40% - Accent6 4 2 4 5" xfId="18745"/>
    <cellStyle name="40% - Accent6 4 2 5" xfId="18746"/>
    <cellStyle name="40% - Accent6 4 2 5 2" xfId="18747"/>
    <cellStyle name="40% - Accent6 4 2 5 3" xfId="18748"/>
    <cellStyle name="40% - Accent6 4 2 5 4" xfId="18749"/>
    <cellStyle name="40% - Accent6 4 2 6" xfId="18750"/>
    <cellStyle name="40% - Accent6 4 2 7" xfId="18751"/>
    <cellStyle name="40% - Accent6 4 2 8" xfId="18752"/>
    <cellStyle name="40% - Accent6 4 3" xfId="550"/>
    <cellStyle name="40% - Accent6 4 3 2" xfId="551"/>
    <cellStyle name="40% - Accent6 4 3 2 2" xfId="18753"/>
    <cellStyle name="40% - Accent6 4 3 2 2 2" xfId="18754"/>
    <cellStyle name="40% - Accent6 4 3 2 2 3" xfId="18755"/>
    <cellStyle name="40% - Accent6 4 3 2 2 4" xfId="18756"/>
    <cellStyle name="40% - Accent6 4 3 2 3" xfId="18757"/>
    <cellStyle name="40% - Accent6 4 3 2 4" xfId="18758"/>
    <cellStyle name="40% - Accent6 4 3 2 5" xfId="18759"/>
    <cellStyle name="40% - Accent6 4 3 3" xfId="552"/>
    <cellStyle name="40% - Accent6 4 3 3 2" xfId="18760"/>
    <cellStyle name="40% - Accent6 4 3 3 2 2" xfId="18761"/>
    <cellStyle name="40% - Accent6 4 3 3 2 3" xfId="18762"/>
    <cellStyle name="40% - Accent6 4 3 3 2 4" xfId="18763"/>
    <cellStyle name="40% - Accent6 4 3 3 3" xfId="18764"/>
    <cellStyle name="40% - Accent6 4 3 3 4" xfId="18765"/>
    <cellStyle name="40% - Accent6 4 3 3 5" xfId="18766"/>
    <cellStyle name="40% - Accent6 4 3 4" xfId="18767"/>
    <cellStyle name="40% - Accent6 4 3 4 2" xfId="18768"/>
    <cellStyle name="40% - Accent6 4 3 4 3" xfId="18769"/>
    <cellStyle name="40% - Accent6 4 3 4 4" xfId="18770"/>
    <cellStyle name="40% - Accent6 4 3 5" xfId="18771"/>
    <cellStyle name="40% - Accent6 4 3 6" xfId="18772"/>
    <cellStyle name="40% - Accent6 4 3 7" xfId="18773"/>
    <cellStyle name="40% - Accent6 4 4" xfId="553"/>
    <cellStyle name="40% - Accent6 4 4 2" xfId="18774"/>
    <cellStyle name="40% - Accent6 4 4 2 2" xfId="18775"/>
    <cellStyle name="40% - Accent6 4 4 2 3" xfId="18776"/>
    <cellStyle name="40% - Accent6 4 4 2 4" xfId="18777"/>
    <cellStyle name="40% - Accent6 4 4 3" xfId="18778"/>
    <cellStyle name="40% - Accent6 4 4 4" xfId="18779"/>
    <cellStyle name="40% - Accent6 4 4 5" xfId="18780"/>
    <cellStyle name="40% - Accent6 4 5" xfId="554"/>
    <cellStyle name="40% - Accent6 4 5 2" xfId="18781"/>
    <cellStyle name="40% - Accent6 4 5 2 2" xfId="18782"/>
    <cellStyle name="40% - Accent6 4 5 2 3" xfId="18783"/>
    <cellStyle name="40% - Accent6 4 5 2 4" xfId="18784"/>
    <cellStyle name="40% - Accent6 4 5 3" xfId="18785"/>
    <cellStyle name="40% - Accent6 4 5 4" xfId="18786"/>
    <cellStyle name="40% - Accent6 4 5 5" xfId="18787"/>
    <cellStyle name="40% - Accent6 4 6" xfId="18788"/>
    <cellStyle name="40% - Accent6 4 6 2" xfId="18789"/>
    <cellStyle name="40% - Accent6 4 6 3" xfId="18790"/>
    <cellStyle name="40% - Accent6 4 6 4" xfId="18791"/>
    <cellStyle name="40% - Accent6 4 7" xfId="18792"/>
    <cellStyle name="40% - Accent6 4 8" xfId="18793"/>
    <cellStyle name="40% - Accent6 4 9" xfId="18794"/>
    <cellStyle name="40% - Accent6 5" xfId="555"/>
    <cellStyle name="40% - Accent6 5 10" xfId="18795"/>
    <cellStyle name="40% - Accent6 5 2" xfId="556"/>
    <cellStyle name="40% - Accent6 5 2 2" xfId="557"/>
    <cellStyle name="40% - Accent6 5 2 2 2" xfId="18796"/>
    <cellStyle name="40% - Accent6 5 2 2 2 2" xfId="18797"/>
    <cellStyle name="40% - Accent6 5 2 2 2 3" xfId="18798"/>
    <cellStyle name="40% - Accent6 5 2 2 2 4" xfId="18799"/>
    <cellStyle name="40% - Accent6 5 2 2 3" xfId="18800"/>
    <cellStyle name="40% - Accent6 5 2 2 4" xfId="18801"/>
    <cellStyle name="40% - Accent6 5 2 2 5" xfId="18802"/>
    <cellStyle name="40% - Accent6 5 2 3" xfId="558"/>
    <cellStyle name="40% - Accent6 5 2 3 2" xfId="18803"/>
    <cellStyle name="40% - Accent6 5 2 3 2 2" xfId="18804"/>
    <cellStyle name="40% - Accent6 5 2 3 2 3" xfId="18805"/>
    <cellStyle name="40% - Accent6 5 2 3 2 4" xfId="18806"/>
    <cellStyle name="40% - Accent6 5 2 3 3" xfId="18807"/>
    <cellStyle name="40% - Accent6 5 2 3 4" xfId="18808"/>
    <cellStyle name="40% - Accent6 5 2 3 5" xfId="18809"/>
    <cellStyle name="40% - Accent6 5 2 4" xfId="18810"/>
    <cellStyle name="40% - Accent6 5 2 4 2" xfId="18811"/>
    <cellStyle name="40% - Accent6 5 2 4 3" xfId="18812"/>
    <cellStyle name="40% - Accent6 5 2 4 4" xfId="18813"/>
    <cellStyle name="40% - Accent6 5 2 5" xfId="18814"/>
    <cellStyle name="40% - Accent6 5 2 6" xfId="18815"/>
    <cellStyle name="40% - Accent6 5 2 7" xfId="18816"/>
    <cellStyle name="40% - Accent6 5 3" xfId="559"/>
    <cellStyle name="40% - Accent6 5 3 2" xfId="18817"/>
    <cellStyle name="40% - Accent6 5 3 2 2" xfId="18818"/>
    <cellStyle name="40% - Accent6 5 3 2 3" xfId="18819"/>
    <cellStyle name="40% - Accent6 5 3 2 4" xfId="18820"/>
    <cellStyle name="40% - Accent6 5 3 3" xfId="18821"/>
    <cellStyle name="40% - Accent6 5 3 4" xfId="18822"/>
    <cellStyle name="40% - Accent6 5 3 5" xfId="18823"/>
    <cellStyle name="40% - Accent6 5 4" xfId="560"/>
    <cellStyle name="40% - Accent6 5 4 2" xfId="18824"/>
    <cellStyle name="40% - Accent6 5 4 2 2" xfId="18825"/>
    <cellStyle name="40% - Accent6 5 4 2 3" xfId="18826"/>
    <cellStyle name="40% - Accent6 5 4 2 4" xfId="18827"/>
    <cellStyle name="40% - Accent6 5 4 3" xfId="18828"/>
    <cellStyle name="40% - Accent6 5 4 4" xfId="18829"/>
    <cellStyle name="40% - Accent6 5 4 5" xfId="18830"/>
    <cellStyle name="40% - Accent6 5 5" xfId="18831"/>
    <cellStyle name="40% - Accent6 5 5 2" xfId="18832"/>
    <cellStyle name="40% - Accent6 5 5 3" xfId="18833"/>
    <cellStyle name="40% - Accent6 5 5 4" xfId="18834"/>
    <cellStyle name="40% - Accent6 5 6" xfId="18835"/>
    <cellStyle name="40% - Accent6 5 7" xfId="18836"/>
    <cellStyle name="40% - Accent6 5 8" xfId="18837"/>
    <cellStyle name="40% - Accent6 5 9" xfId="18838"/>
    <cellStyle name="40% - Accent6 6" xfId="561"/>
    <cellStyle name="40% - Accent6 6 2" xfId="562"/>
    <cellStyle name="40% - Accent6 6 2 2" xfId="18839"/>
    <cellStyle name="40% - Accent6 6 2 2 2" xfId="18840"/>
    <cellStyle name="40% - Accent6 6 2 2 3" xfId="18841"/>
    <cellStyle name="40% - Accent6 6 2 2 4" xfId="18842"/>
    <cellStyle name="40% - Accent6 6 2 3" xfId="18843"/>
    <cellStyle name="40% - Accent6 6 2 4" xfId="18844"/>
    <cellStyle name="40% - Accent6 6 2 5" xfId="18845"/>
    <cellStyle name="40% - Accent6 6 3" xfId="563"/>
    <cellStyle name="40% - Accent6 6 3 2" xfId="18846"/>
    <cellStyle name="40% - Accent6 6 3 2 2" xfId="18847"/>
    <cellStyle name="40% - Accent6 6 3 2 3" xfId="18848"/>
    <cellStyle name="40% - Accent6 6 3 2 4" xfId="18849"/>
    <cellStyle name="40% - Accent6 6 3 3" xfId="18850"/>
    <cellStyle name="40% - Accent6 6 3 4" xfId="18851"/>
    <cellStyle name="40% - Accent6 6 3 5" xfId="18852"/>
    <cellStyle name="40% - Accent6 6 4" xfId="18853"/>
    <cellStyle name="40% - Accent6 6 4 2" xfId="18854"/>
    <cellStyle name="40% - Accent6 6 4 3" xfId="18855"/>
    <cellStyle name="40% - Accent6 6 4 4" xfId="18856"/>
    <cellStyle name="40% - Accent6 6 5" xfId="18857"/>
    <cellStyle name="40% - Accent6 6 6" xfId="18858"/>
    <cellStyle name="40% - Accent6 6 7" xfId="18859"/>
    <cellStyle name="40% - Accent6 6 8" xfId="18860"/>
    <cellStyle name="40% - Accent6 6 9" xfId="18861"/>
    <cellStyle name="40% - Accent6 7" xfId="564"/>
    <cellStyle name="40% - Accent6 7 2" xfId="18862"/>
    <cellStyle name="40% - Accent6 7 2 2" xfId="18863"/>
    <cellStyle name="40% - Accent6 7 2 3" xfId="18864"/>
    <cellStyle name="40% - Accent6 7 2 4" xfId="18865"/>
    <cellStyle name="40% - Accent6 7 3" xfId="18866"/>
    <cellStyle name="40% - Accent6 7 4" xfId="18867"/>
    <cellStyle name="40% - Accent6 7 5" xfId="18868"/>
    <cellStyle name="40% - Accent6 7 6" xfId="18869"/>
    <cellStyle name="40% - Accent6 7 7" xfId="18870"/>
    <cellStyle name="40% - Accent6 7 8" xfId="18871"/>
    <cellStyle name="40% - Accent6 8" xfId="565"/>
    <cellStyle name="40% - Accent6 8 2" xfId="18872"/>
    <cellStyle name="40% - Accent6 8 2 2" xfId="18873"/>
    <cellStyle name="40% - Accent6 8 2 3" xfId="18874"/>
    <cellStyle name="40% - Accent6 8 2 4" xfId="18875"/>
    <cellStyle name="40% - Accent6 8 3" xfId="18876"/>
    <cellStyle name="40% - Accent6 8 4" xfId="18877"/>
    <cellStyle name="40% - Accent6 8 5" xfId="18878"/>
    <cellStyle name="40% - Accent6 8 6" xfId="18879"/>
    <cellStyle name="40% - Accent6 8 7" xfId="18880"/>
    <cellStyle name="40% - Accent6 8 8" xfId="18881"/>
    <cellStyle name="40% - Accent6 9" xfId="18882"/>
    <cellStyle name="40% - Accent6 9 2" xfId="18883"/>
    <cellStyle name="40% - Accent6 9 3" xfId="18884"/>
    <cellStyle name="40% - Accent6 9 4" xfId="18885"/>
    <cellStyle name="40% - Accent6 9 5" xfId="18886"/>
    <cellStyle name="40% - Accent6 9 6" xfId="18887"/>
    <cellStyle name="60% - Accent1 10" xfId="18888"/>
    <cellStyle name="60% - Accent1 10 2" xfId="18889"/>
    <cellStyle name="60% - Accent1 10 3" xfId="18890"/>
    <cellStyle name="60% - Accent1 11" xfId="18891"/>
    <cellStyle name="60% - Accent1 12" xfId="18892"/>
    <cellStyle name="60% - Accent1 13" xfId="18893"/>
    <cellStyle name="60% - Accent1 13 2" xfId="18894"/>
    <cellStyle name="60% - Accent1 13 3" xfId="18895"/>
    <cellStyle name="60% - Accent1 14" xfId="40141"/>
    <cellStyle name="60% - Accent1 15" xfId="40142"/>
    <cellStyle name="60% - Accent1 16" xfId="40143"/>
    <cellStyle name="60% - Accent1 2" xfId="18896"/>
    <cellStyle name="60% - Accent1 2 2" xfId="18897"/>
    <cellStyle name="60% - Accent1 2 3" xfId="18898"/>
    <cellStyle name="60% - Accent1 2 4" xfId="18899"/>
    <cellStyle name="60% - Accent1 2 5" xfId="18900"/>
    <cellStyle name="60% - Accent1 2 6" xfId="18901"/>
    <cellStyle name="60% - Accent1 3" xfId="18902"/>
    <cellStyle name="60% - Accent1 4" xfId="18903"/>
    <cellStyle name="60% - Accent1 5" xfId="18904"/>
    <cellStyle name="60% - Accent1 6" xfId="18905"/>
    <cellStyle name="60% - Accent1 7" xfId="18906"/>
    <cellStyle name="60% - Accent1 7 2" xfId="18907"/>
    <cellStyle name="60% - Accent1 7 3" xfId="18908"/>
    <cellStyle name="60% - Accent1 8" xfId="18909"/>
    <cellStyle name="60% - Accent1 8 2" xfId="18910"/>
    <cellStyle name="60% - Accent1 8 3" xfId="18911"/>
    <cellStyle name="60% - Accent1 9" xfId="18912"/>
    <cellStyle name="60% - Accent2 10" xfId="18913"/>
    <cellStyle name="60% - Accent2 10 2" xfId="18914"/>
    <cellStyle name="60% - Accent2 10 3" xfId="18915"/>
    <cellStyle name="60% - Accent2 11" xfId="18916"/>
    <cellStyle name="60% - Accent2 12" xfId="18917"/>
    <cellStyle name="60% - Accent2 13" xfId="18918"/>
    <cellStyle name="60% - Accent2 13 2" xfId="18919"/>
    <cellStyle name="60% - Accent2 13 3" xfId="18920"/>
    <cellStyle name="60% - Accent2 14" xfId="40144"/>
    <cellStyle name="60% - Accent2 15" xfId="40145"/>
    <cellStyle name="60% - Accent2 16" xfId="40146"/>
    <cellStyle name="60% - Accent2 2" xfId="18921"/>
    <cellStyle name="60% - Accent2 2 2" xfId="18922"/>
    <cellStyle name="60% - Accent2 2 3" xfId="18923"/>
    <cellStyle name="60% - Accent2 2 4" xfId="18924"/>
    <cellStyle name="60% - Accent2 2 5" xfId="18925"/>
    <cellStyle name="60% - Accent2 2 6" xfId="18926"/>
    <cellStyle name="60% - Accent2 3" xfId="18927"/>
    <cellStyle name="60% - Accent2 4" xfId="18928"/>
    <cellStyle name="60% - Accent2 5" xfId="18929"/>
    <cellStyle name="60% - Accent2 6" xfId="18930"/>
    <cellStyle name="60% - Accent2 7" xfId="18931"/>
    <cellStyle name="60% - Accent2 7 2" xfId="18932"/>
    <cellStyle name="60% - Accent2 7 3" xfId="18933"/>
    <cellStyle name="60% - Accent2 8" xfId="18934"/>
    <cellStyle name="60% - Accent2 8 2" xfId="18935"/>
    <cellStyle name="60% - Accent2 8 3" xfId="18936"/>
    <cellStyle name="60% - Accent2 9" xfId="18937"/>
    <cellStyle name="60% - Accent3 10" xfId="18938"/>
    <cellStyle name="60% - Accent3 10 2" xfId="18939"/>
    <cellStyle name="60% - Accent3 10 3" xfId="18940"/>
    <cellStyle name="60% - Accent3 11" xfId="18941"/>
    <cellStyle name="60% - Accent3 12" xfId="18942"/>
    <cellStyle name="60% - Accent3 13" xfId="18943"/>
    <cellStyle name="60% - Accent3 13 2" xfId="18944"/>
    <cellStyle name="60% - Accent3 13 3" xfId="18945"/>
    <cellStyle name="60% - Accent3 14" xfId="40147"/>
    <cellStyle name="60% - Accent3 15" xfId="40148"/>
    <cellStyle name="60% - Accent3 16" xfId="40149"/>
    <cellStyle name="60% - Accent3 2" xfId="18946"/>
    <cellStyle name="60% - Accent3 2 2" xfId="18947"/>
    <cellStyle name="60% - Accent3 2 3" xfId="18948"/>
    <cellStyle name="60% - Accent3 2 4" xfId="18949"/>
    <cellStyle name="60% - Accent3 2 5" xfId="18950"/>
    <cellStyle name="60% - Accent3 2 6" xfId="18951"/>
    <cellStyle name="60% - Accent3 3" xfId="18952"/>
    <cellStyle name="60% - Accent3 4" xfId="18953"/>
    <cellStyle name="60% - Accent3 5" xfId="18954"/>
    <cellStyle name="60% - Accent3 6" xfId="18955"/>
    <cellStyle name="60% - Accent3 7" xfId="18956"/>
    <cellStyle name="60% - Accent3 7 2" xfId="18957"/>
    <cellStyle name="60% - Accent3 7 3" xfId="18958"/>
    <cellStyle name="60% - Accent3 8" xfId="18959"/>
    <cellStyle name="60% - Accent3 8 2" xfId="18960"/>
    <cellStyle name="60% - Accent3 8 3" xfId="18961"/>
    <cellStyle name="60% - Accent3 9" xfId="18962"/>
    <cellStyle name="60% - Accent4 10" xfId="18963"/>
    <cellStyle name="60% - Accent4 10 2" xfId="18964"/>
    <cellStyle name="60% - Accent4 10 3" xfId="18965"/>
    <cellStyle name="60% - Accent4 11" xfId="18966"/>
    <cellStyle name="60% - Accent4 12" xfId="18967"/>
    <cellStyle name="60% - Accent4 13" xfId="18968"/>
    <cellStyle name="60% - Accent4 13 2" xfId="18969"/>
    <cellStyle name="60% - Accent4 13 3" xfId="18970"/>
    <cellStyle name="60% - Accent4 14" xfId="40150"/>
    <cellStyle name="60% - Accent4 15" xfId="40151"/>
    <cellStyle name="60% - Accent4 16" xfId="40152"/>
    <cellStyle name="60% - Accent4 2" xfId="18971"/>
    <cellStyle name="60% - Accent4 2 2" xfId="18972"/>
    <cellStyle name="60% - Accent4 2 3" xfId="18973"/>
    <cellStyle name="60% - Accent4 2 4" xfId="18974"/>
    <cellStyle name="60% - Accent4 2 5" xfId="18975"/>
    <cellStyle name="60% - Accent4 2 6" xfId="18976"/>
    <cellStyle name="60% - Accent4 3" xfId="18977"/>
    <cellStyle name="60% - Accent4 4" xfId="18978"/>
    <cellStyle name="60% - Accent4 5" xfId="18979"/>
    <cellStyle name="60% - Accent4 6" xfId="18980"/>
    <cellStyle name="60% - Accent4 7" xfId="18981"/>
    <cellStyle name="60% - Accent4 7 2" xfId="18982"/>
    <cellStyle name="60% - Accent4 7 3" xfId="18983"/>
    <cellStyle name="60% - Accent4 8" xfId="18984"/>
    <cellStyle name="60% - Accent4 8 2" xfId="18985"/>
    <cellStyle name="60% - Accent4 8 3" xfId="18986"/>
    <cellStyle name="60% - Accent4 9" xfId="18987"/>
    <cellStyle name="60% - Accent5 10" xfId="18988"/>
    <cellStyle name="60% - Accent5 10 2" xfId="18989"/>
    <cellStyle name="60% - Accent5 10 3" xfId="18990"/>
    <cellStyle name="60% - Accent5 11" xfId="18991"/>
    <cellStyle name="60% - Accent5 12" xfId="18992"/>
    <cellStyle name="60% - Accent5 13" xfId="18993"/>
    <cellStyle name="60% - Accent5 13 2" xfId="18994"/>
    <cellStyle name="60% - Accent5 13 3" xfId="18995"/>
    <cellStyle name="60% - Accent5 14" xfId="40153"/>
    <cellStyle name="60% - Accent5 15" xfId="40154"/>
    <cellStyle name="60% - Accent5 16" xfId="40155"/>
    <cellStyle name="60% - Accent5 2" xfId="18996"/>
    <cellStyle name="60% - Accent5 2 2" xfId="18997"/>
    <cellStyle name="60% - Accent5 2 3" xfId="18998"/>
    <cellStyle name="60% - Accent5 2 4" xfId="18999"/>
    <cellStyle name="60% - Accent5 2 5" xfId="19000"/>
    <cellStyle name="60% - Accent5 2 6" xfId="19001"/>
    <cellStyle name="60% - Accent5 3" xfId="19002"/>
    <cellStyle name="60% - Accent5 4" xfId="19003"/>
    <cellStyle name="60% - Accent5 5" xfId="19004"/>
    <cellStyle name="60% - Accent5 6" xfId="19005"/>
    <cellStyle name="60% - Accent5 7" xfId="19006"/>
    <cellStyle name="60% - Accent5 7 2" xfId="19007"/>
    <cellStyle name="60% - Accent5 7 3" xfId="19008"/>
    <cellStyle name="60% - Accent5 8" xfId="19009"/>
    <cellStyle name="60% - Accent5 8 2" xfId="19010"/>
    <cellStyle name="60% - Accent5 8 3" xfId="19011"/>
    <cellStyle name="60% - Accent5 9" xfId="19012"/>
    <cellStyle name="60% - Accent6 10" xfId="19013"/>
    <cellStyle name="60% - Accent6 10 2" xfId="19014"/>
    <cellStyle name="60% - Accent6 10 3" xfId="19015"/>
    <cellStyle name="60% - Accent6 11" xfId="19016"/>
    <cellStyle name="60% - Accent6 12" xfId="19017"/>
    <cellStyle name="60% - Accent6 13" xfId="19018"/>
    <cellStyle name="60% - Accent6 13 2" xfId="19019"/>
    <cellStyle name="60% - Accent6 13 3" xfId="19020"/>
    <cellStyle name="60% - Accent6 14" xfId="40156"/>
    <cellStyle name="60% - Accent6 15" xfId="40157"/>
    <cellStyle name="60% - Accent6 16" xfId="40158"/>
    <cellStyle name="60% - Accent6 2" xfId="19021"/>
    <cellStyle name="60% - Accent6 2 2" xfId="19022"/>
    <cellStyle name="60% - Accent6 2 3" xfId="19023"/>
    <cellStyle name="60% - Accent6 2 4" xfId="19024"/>
    <cellStyle name="60% - Accent6 2 5" xfId="19025"/>
    <cellStyle name="60% - Accent6 2 6" xfId="19026"/>
    <cellStyle name="60% - Accent6 3" xfId="19027"/>
    <cellStyle name="60% - Accent6 4" xfId="19028"/>
    <cellStyle name="60% - Accent6 5" xfId="19029"/>
    <cellStyle name="60% - Accent6 6" xfId="19030"/>
    <cellStyle name="60% - Accent6 7" xfId="19031"/>
    <cellStyle name="60% - Accent6 7 2" xfId="19032"/>
    <cellStyle name="60% - Accent6 7 3" xfId="19033"/>
    <cellStyle name="60% - Accent6 8" xfId="19034"/>
    <cellStyle name="60% - Accent6 8 2" xfId="19035"/>
    <cellStyle name="60% - Accent6 8 3" xfId="19036"/>
    <cellStyle name="60% - Accent6 9" xfId="19037"/>
    <cellStyle name="Accent1 10" xfId="19038"/>
    <cellStyle name="Accent1 10 2" xfId="19039"/>
    <cellStyle name="Accent1 10 3" xfId="19040"/>
    <cellStyle name="Accent1 11" xfId="19041"/>
    <cellStyle name="Accent1 12" xfId="19042"/>
    <cellStyle name="Accent1 13" xfId="19043"/>
    <cellStyle name="Accent1 13 2" xfId="19044"/>
    <cellStyle name="Accent1 13 3" xfId="19045"/>
    <cellStyle name="Accent1 14" xfId="40159"/>
    <cellStyle name="Accent1 15" xfId="40160"/>
    <cellStyle name="Accent1 16" xfId="40161"/>
    <cellStyle name="Accent1 2" xfId="19046"/>
    <cellStyle name="Accent1 2 2" xfId="19047"/>
    <cellStyle name="Accent1 2 3" xfId="19048"/>
    <cellStyle name="Accent1 2 4" xfId="19049"/>
    <cellStyle name="Accent1 2 5" xfId="19050"/>
    <cellStyle name="Accent1 2 6" xfId="19051"/>
    <cellStyle name="Accent1 3" xfId="19052"/>
    <cellStyle name="Accent1 4" xfId="19053"/>
    <cellStyle name="Accent1 5" xfId="19054"/>
    <cellStyle name="Accent1 6" xfId="19055"/>
    <cellStyle name="Accent1 7" xfId="19056"/>
    <cellStyle name="Accent1 7 2" xfId="19057"/>
    <cellStyle name="Accent1 7 3" xfId="19058"/>
    <cellStyle name="Accent1 8" xfId="19059"/>
    <cellStyle name="Accent1 8 2" xfId="19060"/>
    <cellStyle name="Accent1 8 3" xfId="19061"/>
    <cellStyle name="Accent1 9" xfId="19062"/>
    <cellStyle name="Accent2 10" xfId="19063"/>
    <cellStyle name="Accent2 10 2" xfId="19064"/>
    <cellStyle name="Accent2 10 3" xfId="19065"/>
    <cellStyle name="Accent2 11" xfId="19066"/>
    <cellStyle name="Accent2 12" xfId="19067"/>
    <cellStyle name="Accent2 13" xfId="19068"/>
    <cellStyle name="Accent2 13 2" xfId="19069"/>
    <cellStyle name="Accent2 13 3" xfId="19070"/>
    <cellStyle name="Accent2 14" xfId="40162"/>
    <cellStyle name="Accent2 15" xfId="40163"/>
    <cellStyle name="Accent2 16" xfId="40164"/>
    <cellStyle name="Accent2 2" xfId="19071"/>
    <cellStyle name="Accent2 2 2" xfId="19072"/>
    <cellStyle name="Accent2 2 3" xfId="19073"/>
    <cellStyle name="Accent2 2 4" xfId="19074"/>
    <cellStyle name="Accent2 2 5" xfId="19075"/>
    <cellStyle name="Accent2 2 6" xfId="19076"/>
    <cellStyle name="Accent2 3" xfId="19077"/>
    <cellStyle name="Accent2 4" xfId="19078"/>
    <cellStyle name="Accent2 5" xfId="19079"/>
    <cellStyle name="Accent2 6" xfId="19080"/>
    <cellStyle name="Accent2 7" xfId="19081"/>
    <cellStyle name="Accent2 7 2" xfId="19082"/>
    <cellStyle name="Accent2 7 3" xfId="19083"/>
    <cellStyle name="Accent2 8" xfId="19084"/>
    <cellStyle name="Accent2 8 2" xfId="19085"/>
    <cellStyle name="Accent2 8 3" xfId="19086"/>
    <cellStyle name="Accent2 9" xfId="19087"/>
    <cellStyle name="Accent3 10" xfId="19088"/>
    <cellStyle name="Accent3 10 2" xfId="19089"/>
    <cellStyle name="Accent3 10 3" xfId="19090"/>
    <cellStyle name="Accent3 11" xfId="19091"/>
    <cellStyle name="Accent3 12" xfId="19092"/>
    <cellStyle name="Accent3 13" xfId="19093"/>
    <cellStyle name="Accent3 13 2" xfId="19094"/>
    <cellStyle name="Accent3 13 3" xfId="19095"/>
    <cellStyle name="Accent3 14" xfId="40165"/>
    <cellStyle name="Accent3 15" xfId="40166"/>
    <cellStyle name="Accent3 16" xfId="40167"/>
    <cellStyle name="Accent3 2" xfId="19096"/>
    <cellStyle name="Accent3 2 2" xfId="19097"/>
    <cellStyle name="Accent3 2 3" xfId="19098"/>
    <cellStyle name="Accent3 2 4" xfId="19099"/>
    <cellStyle name="Accent3 2 5" xfId="19100"/>
    <cellStyle name="Accent3 2 6" xfId="19101"/>
    <cellStyle name="Accent3 3" xfId="19102"/>
    <cellStyle name="Accent3 4" xfId="19103"/>
    <cellStyle name="Accent3 5" xfId="19104"/>
    <cellStyle name="Accent3 6" xfId="19105"/>
    <cellStyle name="Accent3 7" xfId="19106"/>
    <cellStyle name="Accent3 7 2" xfId="19107"/>
    <cellStyle name="Accent3 7 3" xfId="19108"/>
    <cellStyle name="Accent3 8" xfId="19109"/>
    <cellStyle name="Accent3 8 2" xfId="19110"/>
    <cellStyle name="Accent3 8 3" xfId="19111"/>
    <cellStyle name="Accent3 9" xfId="19112"/>
    <cellStyle name="Accent4 10" xfId="19113"/>
    <cellStyle name="Accent4 10 2" xfId="19114"/>
    <cellStyle name="Accent4 10 3" xfId="19115"/>
    <cellStyle name="Accent4 11" xfId="19116"/>
    <cellStyle name="Accent4 12" xfId="19117"/>
    <cellStyle name="Accent4 13" xfId="19118"/>
    <cellStyle name="Accent4 13 2" xfId="19119"/>
    <cellStyle name="Accent4 13 3" xfId="19120"/>
    <cellStyle name="Accent4 14" xfId="40168"/>
    <cellStyle name="Accent4 15" xfId="40169"/>
    <cellStyle name="Accent4 16" xfId="40170"/>
    <cellStyle name="Accent4 2" xfId="19121"/>
    <cellStyle name="Accent4 2 2" xfId="19122"/>
    <cellStyle name="Accent4 2 3" xfId="19123"/>
    <cellStyle name="Accent4 2 4" xfId="19124"/>
    <cellStyle name="Accent4 2 5" xfId="19125"/>
    <cellStyle name="Accent4 2 6" xfId="19126"/>
    <cellStyle name="Accent4 3" xfId="19127"/>
    <cellStyle name="Accent4 4" xfId="19128"/>
    <cellStyle name="Accent4 5" xfId="19129"/>
    <cellStyle name="Accent4 6" xfId="19130"/>
    <cellStyle name="Accent4 7" xfId="19131"/>
    <cellStyle name="Accent4 7 2" xfId="19132"/>
    <cellStyle name="Accent4 7 3" xfId="19133"/>
    <cellStyle name="Accent4 8" xfId="19134"/>
    <cellStyle name="Accent4 8 2" xfId="19135"/>
    <cellStyle name="Accent4 8 3" xfId="19136"/>
    <cellStyle name="Accent4 9" xfId="19137"/>
    <cellStyle name="Accent5 10" xfId="19138"/>
    <cellStyle name="Accent5 10 2" xfId="19139"/>
    <cellStyle name="Accent5 10 3" xfId="19140"/>
    <cellStyle name="Accent5 11" xfId="19141"/>
    <cellStyle name="Accent5 12" xfId="19142"/>
    <cellStyle name="Accent5 13" xfId="19143"/>
    <cellStyle name="Accent5 13 2" xfId="19144"/>
    <cellStyle name="Accent5 13 3" xfId="19145"/>
    <cellStyle name="Accent5 14" xfId="40171"/>
    <cellStyle name="Accent5 15" xfId="40172"/>
    <cellStyle name="Accent5 16" xfId="40173"/>
    <cellStyle name="Accent5 2" xfId="19146"/>
    <cellStyle name="Accent5 2 2" xfId="19147"/>
    <cellStyle name="Accent5 2 3" xfId="19148"/>
    <cellStyle name="Accent5 2 4" xfId="19149"/>
    <cellStyle name="Accent5 2 5" xfId="19150"/>
    <cellStyle name="Accent5 2 6" xfId="19151"/>
    <cellStyle name="Accent5 3" xfId="19152"/>
    <cellStyle name="Accent5 4" xfId="19153"/>
    <cellStyle name="Accent5 5" xfId="19154"/>
    <cellStyle name="Accent5 6" xfId="19155"/>
    <cellStyle name="Accent5 7" xfId="19156"/>
    <cellStyle name="Accent5 7 2" xfId="19157"/>
    <cellStyle name="Accent5 7 3" xfId="19158"/>
    <cellStyle name="Accent5 8" xfId="19159"/>
    <cellStyle name="Accent5 8 2" xfId="19160"/>
    <cellStyle name="Accent5 8 3" xfId="19161"/>
    <cellStyle name="Accent5 9" xfId="19162"/>
    <cellStyle name="Accent6 10" xfId="19163"/>
    <cellStyle name="Accent6 10 2" xfId="19164"/>
    <cellStyle name="Accent6 10 3" xfId="19165"/>
    <cellStyle name="Accent6 11" xfId="19166"/>
    <cellStyle name="Accent6 12" xfId="19167"/>
    <cellStyle name="Accent6 13" xfId="19168"/>
    <cellStyle name="Accent6 13 2" xfId="19169"/>
    <cellStyle name="Accent6 13 3" xfId="19170"/>
    <cellStyle name="Accent6 14" xfId="40174"/>
    <cellStyle name="Accent6 15" xfId="40175"/>
    <cellStyle name="Accent6 16" xfId="40176"/>
    <cellStyle name="Accent6 2" xfId="19171"/>
    <cellStyle name="Accent6 2 2" xfId="19172"/>
    <cellStyle name="Accent6 2 3" xfId="19173"/>
    <cellStyle name="Accent6 2 4" xfId="19174"/>
    <cellStyle name="Accent6 2 5" xfId="19175"/>
    <cellStyle name="Accent6 2 6" xfId="19176"/>
    <cellStyle name="Accent6 3" xfId="19177"/>
    <cellStyle name="Accent6 4" xfId="19178"/>
    <cellStyle name="Accent6 5" xfId="19179"/>
    <cellStyle name="Accent6 6" xfId="19180"/>
    <cellStyle name="Accent6 7" xfId="19181"/>
    <cellStyle name="Accent6 7 2" xfId="19182"/>
    <cellStyle name="Accent6 7 3" xfId="19183"/>
    <cellStyle name="Accent6 8" xfId="19184"/>
    <cellStyle name="Accent6 8 2" xfId="19185"/>
    <cellStyle name="Accent6 8 3" xfId="19186"/>
    <cellStyle name="Accent6 9" xfId="19187"/>
    <cellStyle name="Bad 10" xfId="19188"/>
    <cellStyle name="Bad 10 2" xfId="19189"/>
    <cellStyle name="Bad 10 3" xfId="19190"/>
    <cellStyle name="Bad 11" xfId="19191"/>
    <cellStyle name="Bad 12" xfId="19192"/>
    <cellStyle name="Bad 13" xfId="19193"/>
    <cellStyle name="Bad 13 2" xfId="19194"/>
    <cellStyle name="Bad 13 3" xfId="19195"/>
    <cellStyle name="Bad 14" xfId="40177"/>
    <cellStyle name="Bad 15" xfId="40178"/>
    <cellStyle name="Bad 16" xfId="40179"/>
    <cellStyle name="Bad 2" xfId="19196"/>
    <cellStyle name="Bad 2 2" xfId="19197"/>
    <cellStyle name="Bad 2 3" xfId="19198"/>
    <cellStyle name="Bad 2 4" xfId="19199"/>
    <cellStyle name="Bad 2 5" xfId="19200"/>
    <cellStyle name="Bad 2 6" xfId="19201"/>
    <cellStyle name="Bad 3" xfId="19202"/>
    <cellStyle name="Bad 4" xfId="19203"/>
    <cellStyle name="Bad 5" xfId="19204"/>
    <cellStyle name="Bad 6" xfId="19205"/>
    <cellStyle name="Bad 7" xfId="19206"/>
    <cellStyle name="Bad 7 2" xfId="19207"/>
    <cellStyle name="Bad 7 3" xfId="19208"/>
    <cellStyle name="Bad 8" xfId="19209"/>
    <cellStyle name="Bad 8 2" xfId="19210"/>
    <cellStyle name="Bad 8 3" xfId="19211"/>
    <cellStyle name="Bad 9" xfId="19212"/>
    <cellStyle name="Calculation 10" xfId="19213"/>
    <cellStyle name="Calculation 10 2" xfId="19214"/>
    <cellStyle name="Calculation 10 3" xfId="19215"/>
    <cellStyle name="Calculation 11" xfId="19216"/>
    <cellStyle name="Calculation 12" xfId="19217"/>
    <cellStyle name="Calculation 13" xfId="19218"/>
    <cellStyle name="Calculation 13 2" xfId="19219"/>
    <cellStyle name="Calculation 13 3" xfId="19220"/>
    <cellStyle name="Calculation 14" xfId="40180"/>
    <cellStyle name="Calculation 15" xfId="40181"/>
    <cellStyle name="Calculation 16" xfId="40182"/>
    <cellStyle name="Calculation 2" xfId="19221"/>
    <cellStyle name="Calculation 2 2" xfId="19222"/>
    <cellStyle name="Calculation 2 3" xfId="19223"/>
    <cellStyle name="Calculation 2 4" xfId="19224"/>
    <cellStyle name="Calculation 2 5" xfId="19225"/>
    <cellStyle name="Calculation 2 6" xfId="19226"/>
    <cellStyle name="Calculation 3" xfId="19227"/>
    <cellStyle name="Calculation 4" xfId="19228"/>
    <cellStyle name="Calculation 5" xfId="19229"/>
    <cellStyle name="Calculation 6" xfId="19230"/>
    <cellStyle name="Calculation 7" xfId="19231"/>
    <cellStyle name="Calculation 7 2" xfId="19232"/>
    <cellStyle name="Calculation 7 3" xfId="19233"/>
    <cellStyle name="Calculation 8" xfId="19234"/>
    <cellStyle name="Calculation 8 2" xfId="19235"/>
    <cellStyle name="Calculation 8 3" xfId="19236"/>
    <cellStyle name="Calculation 9" xfId="19237"/>
    <cellStyle name="Check Cell 10" xfId="19238"/>
    <cellStyle name="Check Cell 10 2" xfId="19239"/>
    <cellStyle name="Check Cell 10 3" xfId="19240"/>
    <cellStyle name="Check Cell 11" xfId="19241"/>
    <cellStyle name="Check Cell 12" xfId="19242"/>
    <cellStyle name="Check Cell 13" xfId="19243"/>
    <cellStyle name="Check Cell 13 2" xfId="19244"/>
    <cellStyle name="Check Cell 13 3" xfId="19245"/>
    <cellStyle name="Check Cell 14" xfId="40183"/>
    <cellStyle name="Check Cell 15" xfId="40184"/>
    <cellStyle name="Check Cell 16" xfId="40185"/>
    <cellStyle name="Check Cell 2" xfId="19246"/>
    <cellStyle name="Check Cell 2 2" xfId="19247"/>
    <cellStyle name="Check Cell 2 3" xfId="19248"/>
    <cellStyle name="Check Cell 2 4" xfId="19249"/>
    <cellStyle name="Check Cell 2 5" xfId="19250"/>
    <cellStyle name="Check Cell 2 6" xfId="19251"/>
    <cellStyle name="Check Cell 3" xfId="19252"/>
    <cellStyle name="Check Cell 4" xfId="19253"/>
    <cellStyle name="Check Cell 5" xfId="19254"/>
    <cellStyle name="Check Cell 6" xfId="19255"/>
    <cellStyle name="Check Cell 7" xfId="19256"/>
    <cellStyle name="Check Cell 7 2" xfId="19257"/>
    <cellStyle name="Check Cell 7 3" xfId="19258"/>
    <cellStyle name="Check Cell 8" xfId="19259"/>
    <cellStyle name="Check Cell 8 2" xfId="19260"/>
    <cellStyle name="Check Cell 8 3" xfId="19261"/>
    <cellStyle name="Check Cell 9" xfId="19262"/>
    <cellStyle name="Comma" xfId="1" builtinId="3"/>
    <cellStyle name="Comma [0] 2" xfId="19263"/>
    <cellStyle name="Comma [0] 2 2" xfId="19264"/>
    <cellStyle name="Comma [0] 2 3" xfId="19265"/>
    <cellStyle name="Comma [0] 3" xfId="19266"/>
    <cellStyle name="Comma [0] 4" xfId="19267"/>
    <cellStyle name="Comma [0] 5" xfId="40085"/>
    <cellStyle name="Comma [0] 6" xfId="40186"/>
    <cellStyle name="Comma 10" xfId="566"/>
    <cellStyle name="Comma 10 10" xfId="567"/>
    <cellStyle name="Comma 10 10 2" xfId="568"/>
    <cellStyle name="Comma 10 10 3" xfId="569"/>
    <cellStyle name="Comma 10 10 4" xfId="570"/>
    <cellStyle name="Comma 10 10 5" xfId="571"/>
    <cellStyle name="Comma 10 10 6" xfId="19268"/>
    <cellStyle name="Comma 10 10 7" xfId="19269"/>
    <cellStyle name="Comma 10 10 8" xfId="19270"/>
    <cellStyle name="Comma 10 11" xfId="572"/>
    <cellStyle name="Comma 10 11 2" xfId="573"/>
    <cellStyle name="Comma 10 11 3" xfId="574"/>
    <cellStyle name="Comma 10 11 4" xfId="575"/>
    <cellStyle name="Comma 10 11 5" xfId="576"/>
    <cellStyle name="Comma 10 11 6" xfId="19271"/>
    <cellStyle name="Comma 10 11 7" xfId="19272"/>
    <cellStyle name="Comma 10 11 8" xfId="19273"/>
    <cellStyle name="Comma 10 12" xfId="577"/>
    <cellStyle name="Comma 10 12 2" xfId="578"/>
    <cellStyle name="Comma 10 12 3" xfId="579"/>
    <cellStyle name="Comma 10 12 4" xfId="580"/>
    <cellStyle name="Comma 10 12 5" xfId="581"/>
    <cellStyle name="Comma 10 12 6" xfId="19274"/>
    <cellStyle name="Comma 10 12 7" xfId="19275"/>
    <cellStyle name="Comma 10 12 8" xfId="19276"/>
    <cellStyle name="Comma 10 13" xfId="582"/>
    <cellStyle name="Comma 10 13 2" xfId="583"/>
    <cellStyle name="Comma 10 13 3" xfId="584"/>
    <cellStyle name="Comma 10 13 4" xfId="585"/>
    <cellStyle name="Comma 10 13 5" xfId="586"/>
    <cellStyle name="Comma 10 13 6" xfId="19277"/>
    <cellStyle name="Comma 10 13 7" xfId="19278"/>
    <cellStyle name="Comma 10 13 8" xfId="19279"/>
    <cellStyle name="Comma 10 14" xfId="587"/>
    <cellStyle name="Comma 10 15" xfId="588"/>
    <cellStyle name="Comma 10 16" xfId="589"/>
    <cellStyle name="Comma 10 17" xfId="590"/>
    <cellStyle name="Comma 10 18" xfId="19280"/>
    <cellStyle name="Comma 10 19" xfId="19281"/>
    <cellStyle name="Comma 10 2" xfId="591"/>
    <cellStyle name="Comma 10 2 10" xfId="592"/>
    <cellStyle name="Comma 10 2 11" xfId="19282"/>
    <cellStyle name="Comma 10 2 11 2" xfId="19283"/>
    <cellStyle name="Comma 10 2 11 3" xfId="19284"/>
    <cellStyle name="Comma 10 2 12" xfId="19285"/>
    <cellStyle name="Comma 10 2 13" xfId="19286"/>
    <cellStyle name="Comma 10 2 2" xfId="593"/>
    <cellStyle name="Comma 10 2 2 2" xfId="594"/>
    <cellStyle name="Comma 10 2 2 3" xfId="595"/>
    <cellStyle name="Comma 10 2 2 4" xfId="596"/>
    <cellStyle name="Comma 10 2 2 5" xfId="597"/>
    <cellStyle name="Comma 10 2 2 6" xfId="19287"/>
    <cellStyle name="Comma 10 2 2 7" xfId="19288"/>
    <cellStyle name="Comma 10 2 2 8" xfId="19289"/>
    <cellStyle name="Comma 10 2 3" xfId="598"/>
    <cellStyle name="Comma 10 2 3 2" xfId="599"/>
    <cellStyle name="Comma 10 2 3 3" xfId="600"/>
    <cellStyle name="Comma 10 2 3 4" xfId="601"/>
    <cellStyle name="Comma 10 2 3 5" xfId="602"/>
    <cellStyle name="Comma 10 2 3 6" xfId="19290"/>
    <cellStyle name="Comma 10 2 3 7" xfId="19291"/>
    <cellStyle name="Comma 10 2 3 8" xfId="19292"/>
    <cellStyle name="Comma 10 2 4" xfId="603"/>
    <cellStyle name="Comma 10 2 4 2" xfId="604"/>
    <cellStyle name="Comma 10 2 4 3" xfId="605"/>
    <cellStyle name="Comma 10 2 4 4" xfId="606"/>
    <cellStyle name="Comma 10 2 4 5" xfId="607"/>
    <cellStyle name="Comma 10 2 4 6" xfId="19293"/>
    <cellStyle name="Comma 10 2 4 7" xfId="19294"/>
    <cellStyle name="Comma 10 2 4 8" xfId="19295"/>
    <cellStyle name="Comma 10 2 5" xfId="608"/>
    <cellStyle name="Comma 10 2 5 2" xfId="609"/>
    <cellStyle name="Comma 10 2 5 3" xfId="610"/>
    <cellStyle name="Comma 10 2 5 4" xfId="611"/>
    <cellStyle name="Comma 10 2 5 5" xfId="612"/>
    <cellStyle name="Comma 10 2 5 6" xfId="19296"/>
    <cellStyle name="Comma 10 2 5 7" xfId="19297"/>
    <cellStyle name="Comma 10 2 5 8" xfId="19298"/>
    <cellStyle name="Comma 10 2 6" xfId="613"/>
    <cellStyle name="Comma 10 2 6 2" xfId="614"/>
    <cellStyle name="Comma 10 2 6 3" xfId="615"/>
    <cellStyle name="Comma 10 2 6 4" xfId="616"/>
    <cellStyle name="Comma 10 2 6 5" xfId="617"/>
    <cellStyle name="Comma 10 2 6 6" xfId="19299"/>
    <cellStyle name="Comma 10 2 6 7" xfId="19300"/>
    <cellStyle name="Comma 10 2 6 8" xfId="19301"/>
    <cellStyle name="Comma 10 2 7" xfId="618"/>
    <cellStyle name="Comma 10 2 8" xfId="619"/>
    <cellStyle name="Comma 10 2 9" xfId="620"/>
    <cellStyle name="Comma 10 20" xfId="19302"/>
    <cellStyle name="Comma 10 21" xfId="19303"/>
    <cellStyle name="Comma 10 22" xfId="19304"/>
    <cellStyle name="Comma 10 3" xfId="621"/>
    <cellStyle name="Comma 10 3 10" xfId="622"/>
    <cellStyle name="Comma 10 3 11" xfId="19305"/>
    <cellStyle name="Comma 10 3 12" xfId="19306"/>
    <cellStyle name="Comma 10 3 13" xfId="19307"/>
    <cellStyle name="Comma 10 3 2" xfId="623"/>
    <cellStyle name="Comma 10 3 2 2" xfId="624"/>
    <cellStyle name="Comma 10 3 2 3" xfId="625"/>
    <cellStyle name="Comma 10 3 2 4" xfId="626"/>
    <cellStyle name="Comma 10 3 2 5" xfId="627"/>
    <cellStyle name="Comma 10 3 2 6" xfId="19308"/>
    <cellStyle name="Comma 10 3 2 7" xfId="19309"/>
    <cellStyle name="Comma 10 3 2 8" xfId="19310"/>
    <cellStyle name="Comma 10 3 3" xfId="628"/>
    <cellStyle name="Comma 10 3 3 2" xfId="629"/>
    <cellStyle name="Comma 10 3 3 3" xfId="630"/>
    <cellStyle name="Comma 10 3 3 4" xfId="631"/>
    <cellStyle name="Comma 10 3 3 5" xfId="632"/>
    <cellStyle name="Comma 10 3 3 6" xfId="19311"/>
    <cellStyle name="Comma 10 3 3 7" xfId="19312"/>
    <cellStyle name="Comma 10 3 3 8" xfId="19313"/>
    <cellStyle name="Comma 10 3 4" xfId="633"/>
    <cellStyle name="Comma 10 3 4 2" xfId="634"/>
    <cellStyle name="Comma 10 3 4 3" xfId="635"/>
    <cellStyle name="Comma 10 3 4 4" xfId="636"/>
    <cellStyle name="Comma 10 3 4 5" xfId="637"/>
    <cellStyle name="Comma 10 3 4 6" xfId="19314"/>
    <cellStyle name="Comma 10 3 4 7" xfId="19315"/>
    <cellStyle name="Comma 10 3 4 8" xfId="19316"/>
    <cellStyle name="Comma 10 3 5" xfId="638"/>
    <cellStyle name="Comma 10 3 5 2" xfId="639"/>
    <cellStyle name="Comma 10 3 5 3" xfId="640"/>
    <cellStyle name="Comma 10 3 5 4" xfId="641"/>
    <cellStyle name="Comma 10 3 5 5" xfId="642"/>
    <cellStyle name="Comma 10 3 5 6" xfId="19317"/>
    <cellStyle name="Comma 10 3 5 7" xfId="19318"/>
    <cellStyle name="Comma 10 3 5 8" xfId="19319"/>
    <cellStyle name="Comma 10 3 6" xfId="643"/>
    <cellStyle name="Comma 10 3 6 2" xfId="644"/>
    <cellStyle name="Comma 10 3 6 3" xfId="645"/>
    <cellStyle name="Comma 10 3 6 4" xfId="646"/>
    <cellStyle name="Comma 10 3 6 5" xfId="647"/>
    <cellStyle name="Comma 10 3 6 6" xfId="19320"/>
    <cellStyle name="Comma 10 3 6 7" xfId="19321"/>
    <cellStyle name="Comma 10 3 6 8" xfId="19322"/>
    <cellStyle name="Comma 10 3 7" xfId="648"/>
    <cellStyle name="Comma 10 3 8" xfId="649"/>
    <cellStyle name="Comma 10 3 9" xfId="650"/>
    <cellStyle name="Comma 10 4" xfId="651"/>
    <cellStyle name="Comma 10 4 10" xfId="652"/>
    <cellStyle name="Comma 10 4 11" xfId="19323"/>
    <cellStyle name="Comma 10 4 12" xfId="19324"/>
    <cellStyle name="Comma 10 4 13" xfId="19325"/>
    <cellStyle name="Comma 10 4 2" xfId="653"/>
    <cellStyle name="Comma 10 4 2 2" xfId="654"/>
    <cellStyle name="Comma 10 4 2 3" xfId="655"/>
    <cellStyle name="Comma 10 4 2 4" xfId="656"/>
    <cellStyle name="Comma 10 4 2 5" xfId="657"/>
    <cellStyle name="Comma 10 4 2 6" xfId="19326"/>
    <cellStyle name="Comma 10 4 2 7" xfId="19327"/>
    <cellStyle name="Comma 10 4 2 8" xfId="19328"/>
    <cellStyle name="Comma 10 4 3" xfId="658"/>
    <cellStyle name="Comma 10 4 3 2" xfId="659"/>
    <cellStyle name="Comma 10 4 3 3" xfId="660"/>
    <cellStyle name="Comma 10 4 3 4" xfId="661"/>
    <cellStyle name="Comma 10 4 3 5" xfId="662"/>
    <cellStyle name="Comma 10 4 3 6" xfId="19329"/>
    <cellStyle name="Comma 10 4 3 7" xfId="19330"/>
    <cellStyle name="Comma 10 4 3 8" xfId="19331"/>
    <cellStyle name="Comma 10 4 4" xfId="663"/>
    <cellStyle name="Comma 10 4 4 2" xfId="664"/>
    <cellStyle name="Comma 10 4 4 3" xfId="665"/>
    <cellStyle name="Comma 10 4 4 4" xfId="666"/>
    <cellStyle name="Comma 10 4 4 5" xfId="667"/>
    <cellStyle name="Comma 10 4 4 6" xfId="19332"/>
    <cellStyle name="Comma 10 4 4 7" xfId="19333"/>
    <cellStyle name="Comma 10 4 4 8" xfId="19334"/>
    <cellStyle name="Comma 10 4 5" xfId="668"/>
    <cellStyle name="Comma 10 4 5 2" xfId="669"/>
    <cellStyle name="Comma 10 4 5 3" xfId="670"/>
    <cellStyle name="Comma 10 4 5 4" xfId="671"/>
    <cellStyle name="Comma 10 4 5 5" xfId="672"/>
    <cellStyle name="Comma 10 4 5 6" xfId="19335"/>
    <cellStyle name="Comma 10 4 5 7" xfId="19336"/>
    <cellStyle name="Comma 10 4 5 8" xfId="19337"/>
    <cellStyle name="Comma 10 4 6" xfId="673"/>
    <cellStyle name="Comma 10 4 6 2" xfId="674"/>
    <cellStyle name="Comma 10 4 6 3" xfId="675"/>
    <cellStyle name="Comma 10 4 6 4" xfId="676"/>
    <cellStyle name="Comma 10 4 6 5" xfId="677"/>
    <cellStyle name="Comma 10 4 6 6" xfId="19338"/>
    <cellStyle name="Comma 10 4 6 7" xfId="19339"/>
    <cellStyle name="Comma 10 4 6 8" xfId="19340"/>
    <cellStyle name="Comma 10 4 7" xfId="678"/>
    <cellStyle name="Comma 10 4 8" xfId="679"/>
    <cellStyle name="Comma 10 4 9" xfId="680"/>
    <cellStyle name="Comma 10 5" xfId="681"/>
    <cellStyle name="Comma 10 5 10" xfId="682"/>
    <cellStyle name="Comma 10 5 11" xfId="19341"/>
    <cellStyle name="Comma 10 5 12" xfId="19342"/>
    <cellStyle name="Comma 10 5 13" xfId="19343"/>
    <cellStyle name="Comma 10 5 2" xfId="683"/>
    <cellStyle name="Comma 10 5 2 2" xfId="684"/>
    <cellStyle name="Comma 10 5 2 3" xfId="685"/>
    <cellStyle name="Comma 10 5 2 4" xfId="686"/>
    <cellStyle name="Comma 10 5 2 5" xfId="687"/>
    <cellStyle name="Comma 10 5 2 6" xfId="19344"/>
    <cellStyle name="Comma 10 5 2 7" xfId="19345"/>
    <cellStyle name="Comma 10 5 2 8" xfId="19346"/>
    <cellStyle name="Comma 10 5 3" xfId="688"/>
    <cellStyle name="Comma 10 5 3 2" xfId="689"/>
    <cellStyle name="Comma 10 5 3 3" xfId="690"/>
    <cellStyle name="Comma 10 5 3 4" xfId="691"/>
    <cellStyle name="Comma 10 5 3 5" xfId="692"/>
    <cellStyle name="Comma 10 5 3 6" xfId="19347"/>
    <cellStyle name="Comma 10 5 3 7" xfId="19348"/>
    <cellStyle name="Comma 10 5 3 8" xfId="19349"/>
    <cellStyle name="Comma 10 5 4" xfId="693"/>
    <cellStyle name="Comma 10 5 4 2" xfId="694"/>
    <cellStyle name="Comma 10 5 4 3" xfId="695"/>
    <cellStyle name="Comma 10 5 4 4" xfId="696"/>
    <cellStyle name="Comma 10 5 4 5" xfId="697"/>
    <cellStyle name="Comma 10 5 4 6" xfId="19350"/>
    <cellStyle name="Comma 10 5 4 7" xfId="19351"/>
    <cellStyle name="Comma 10 5 4 8" xfId="19352"/>
    <cellStyle name="Comma 10 5 5" xfId="698"/>
    <cellStyle name="Comma 10 5 5 2" xfId="699"/>
    <cellStyle name="Comma 10 5 5 3" xfId="700"/>
    <cellStyle name="Comma 10 5 5 4" xfId="701"/>
    <cellStyle name="Comma 10 5 5 5" xfId="702"/>
    <cellStyle name="Comma 10 5 5 6" xfId="19353"/>
    <cellStyle name="Comma 10 5 5 7" xfId="19354"/>
    <cellStyle name="Comma 10 5 5 8" xfId="19355"/>
    <cellStyle name="Comma 10 5 6" xfId="703"/>
    <cellStyle name="Comma 10 5 6 2" xfId="704"/>
    <cellStyle name="Comma 10 5 6 3" xfId="705"/>
    <cellStyle name="Comma 10 5 6 4" xfId="706"/>
    <cellStyle name="Comma 10 5 6 5" xfId="707"/>
    <cellStyle name="Comma 10 5 6 6" xfId="19356"/>
    <cellStyle name="Comma 10 5 6 7" xfId="19357"/>
    <cellStyle name="Comma 10 5 6 8" xfId="19358"/>
    <cellStyle name="Comma 10 5 7" xfId="708"/>
    <cellStyle name="Comma 10 5 8" xfId="709"/>
    <cellStyle name="Comma 10 5 9" xfId="710"/>
    <cellStyle name="Comma 10 6" xfId="711"/>
    <cellStyle name="Comma 10 6 10" xfId="712"/>
    <cellStyle name="Comma 10 6 11" xfId="19359"/>
    <cellStyle name="Comma 10 6 12" xfId="19360"/>
    <cellStyle name="Comma 10 6 13" xfId="19361"/>
    <cellStyle name="Comma 10 6 2" xfId="713"/>
    <cellStyle name="Comma 10 6 2 2" xfId="714"/>
    <cellStyle name="Comma 10 6 2 3" xfId="715"/>
    <cellStyle name="Comma 10 6 2 4" xfId="716"/>
    <cellStyle name="Comma 10 6 2 5" xfId="717"/>
    <cellStyle name="Comma 10 6 2 6" xfId="19362"/>
    <cellStyle name="Comma 10 6 2 7" xfId="19363"/>
    <cellStyle name="Comma 10 6 2 8" xfId="19364"/>
    <cellStyle name="Comma 10 6 3" xfId="718"/>
    <cellStyle name="Comma 10 6 3 2" xfId="719"/>
    <cellStyle name="Comma 10 6 3 3" xfId="720"/>
    <cellStyle name="Comma 10 6 3 4" xfId="721"/>
    <cellStyle name="Comma 10 6 3 5" xfId="722"/>
    <cellStyle name="Comma 10 6 3 6" xfId="19365"/>
    <cellStyle name="Comma 10 6 3 7" xfId="19366"/>
    <cellStyle name="Comma 10 6 3 8" xfId="19367"/>
    <cellStyle name="Comma 10 6 4" xfId="723"/>
    <cellStyle name="Comma 10 6 4 2" xfId="724"/>
    <cellStyle name="Comma 10 6 4 3" xfId="725"/>
    <cellStyle name="Comma 10 6 4 4" xfId="726"/>
    <cellStyle name="Comma 10 6 4 5" xfId="727"/>
    <cellStyle name="Comma 10 6 4 6" xfId="19368"/>
    <cellStyle name="Comma 10 6 4 7" xfId="19369"/>
    <cellStyle name="Comma 10 6 4 8" xfId="19370"/>
    <cellStyle name="Comma 10 6 5" xfId="728"/>
    <cellStyle name="Comma 10 6 5 2" xfId="729"/>
    <cellStyle name="Comma 10 6 5 3" xfId="730"/>
    <cellStyle name="Comma 10 6 5 4" xfId="731"/>
    <cellStyle name="Comma 10 6 5 5" xfId="732"/>
    <cellStyle name="Comma 10 6 5 6" xfId="19371"/>
    <cellStyle name="Comma 10 6 5 7" xfId="19372"/>
    <cellStyle name="Comma 10 6 5 8" xfId="19373"/>
    <cellStyle name="Comma 10 6 6" xfId="733"/>
    <cellStyle name="Comma 10 6 6 2" xfId="734"/>
    <cellStyle name="Comma 10 6 6 3" xfId="735"/>
    <cellStyle name="Comma 10 6 6 4" xfId="736"/>
    <cellStyle name="Comma 10 6 6 5" xfId="737"/>
    <cellStyle name="Comma 10 6 6 6" xfId="19374"/>
    <cellStyle name="Comma 10 6 6 7" xfId="19375"/>
    <cellStyle name="Comma 10 6 6 8" xfId="19376"/>
    <cellStyle name="Comma 10 6 7" xfId="738"/>
    <cellStyle name="Comma 10 6 8" xfId="739"/>
    <cellStyle name="Comma 10 6 9" xfId="740"/>
    <cellStyle name="Comma 10 7" xfId="741"/>
    <cellStyle name="Comma 10 7 10" xfId="742"/>
    <cellStyle name="Comma 10 7 11" xfId="19377"/>
    <cellStyle name="Comma 10 7 12" xfId="19378"/>
    <cellStyle name="Comma 10 7 13" xfId="19379"/>
    <cellStyle name="Comma 10 7 2" xfId="743"/>
    <cellStyle name="Comma 10 7 2 2" xfId="744"/>
    <cellStyle name="Comma 10 7 2 3" xfId="745"/>
    <cellStyle name="Comma 10 7 2 4" xfId="746"/>
    <cellStyle name="Comma 10 7 2 5" xfId="747"/>
    <cellStyle name="Comma 10 7 2 6" xfId="19380"/>
    <cellStyle name="Comma 10 7 2 7" xfId="19381"/>
    <cellStyle name="Comma 10 7 2 8" xfId="19382"/>
    <cellStyle name="Comma 10 7 3" xfId="748"/>
    <cellStyle name="Comma 10 7 3 2" xfId="749"/>
    <cellStyle name="Comma 10 7 3 3" xfId="750"/>
    <cellStyle name="Comma 10 7 3 4" xfId="751"/>
    <cellStyle name="Comma 10 7 3 5" xfId="752"/>
    <cellStyle name="Comma 10 7 3 6" xfId="19383"/>
    <cellStyle name="Comma 10 7 3 7" xfId="19384"/>
    <cellStyle name="Comma 10 7 3 8" xfId="19385"/>
    <cellStyle name="Comma 10 7 4" xfId="753"/>
    <cellStyle name="Comma 10 7 4 2" xfId="754"/>
    <cellStyle name="Comma 10 7 4 3" xfId="755"/>
    <cellStyle name="Comma 10 7 4 4" xfId="756"/>
    <cellStyle name="Comma 10 7 4 5" xfId="757"/>
    <cellStyle name="Comma 10 7 4 6" xfId="19386"/>
    <cellStyle name="Comma 10 7 4 7" xfId="19387"/>
    <cellStyle name="Comma 10 7 4 8" xfId="19388"/>
    <cellStyle name="Comma 10 7 5" xfId="758"/>
    <cellStyle name="Comma 10 7 5 2" xfId="759"/>
    <cellStyle name="Comma 10 7 5 3" xfId="760"/>
    <cellStyle name="Comma 10 7 5 4" xfId="761"/>
    <cellStyle name="Comma 10 7 5 5" xfId="762"/>
    <cellStyle name="Comma 10 7 5 6" xfId="19389"/>
    <cellStyle name="Comma 10 7 5 7" xfId="19390"/>
    <cellStyle name="Comma 10 7 5 8" xfId="19391"/>
    <cellStyle name="Comma 10 7 6" xfId="763"/>
    <cellStyle name="Comma 10 7 6 2" xfId="764"/>
    <cellStyle name="Comma 10 7 6 3" xfId="765"/>
    <cellStyle name="Comma 10 7 6 4" xfId="766"/>
    <cellStyle name="Comma 10 7 6 5" xfId="767"/>
    <cellStyle name="Comma 10 7 6 6" xfId="19392"/>
    <cellStyle name="Comma 10 7 6 7" xfId="19393"/>
    <cellStyle name="Comma 10 7 6 8" xfId="19394"/>
    <cellStyle name="Comma 10 7 7" xfId="768"/>
    <cellStyle name="Comma 10 7 8" xfId="769"/>
    <cellStyle name="Comma 10 7 9" xfId="770"/>
    <cellStyle name="Comma 10 8" xfId="771"/>
    <cellStyle name="Comma 10 8 10" xfId="772"/>
    <cellStyle name="Comma 10 8 11" xfId="19395"/>
    <cellStyle name="Comma 10 8 12" xfId="19396"/>
    <cellStyle name="Comma 10 8 13" xfId="19397"/>
    <cellStyle name="Comma 10 8 2" xfId="773"/>
    <cellStyle name="Comma 10 8 2 2" xfId="774"/>
    <cellStyle name="Comma 10 8 2 3" xfId="775"/>
    <cellStyle name="Comma 10 8 2 4" xfId="776"/>
    <cellStyle name="Comma 10 8 2 5" xfId="777"/>
    <cellStyle name="Comma 10 8 2 6" xfId="19398"/>
    <cellStyle name="Comma 10 8 2 7" xfId="19399"/>
    <cellStyle name="Comma 10 8 2 8" xfId="19400"/>
    <cellStyle name="Comma 10 8 3" xfId="778"/>
    <cellStyle name="Comma 10 8 3 2" xfId="779"/>
    <cellStyle name="Comma 10 8 3 3" xfId="780"/>
    <cellStyle name="Comma 10 8 3 4" xfId="781"/>
    <cellStyle name="Comma 10 8 3 5" xfId="782"/>
    <cellStyle name="Comma 10 8 3 6" xfId="19401"/>
    <cellStyle name="Comma 10 8 3 7" xfId="19402"/>
    <cellStyle name="Comma 10 8 3 8" xfId="19403"/>
    <cellStyle name="Comma 10 8 4" xfId="783"/>
    <cellStyle name="Comma 10 8 4 2" xfId="784"/>
    <cellStyle name="Comma 10 8 4 3" xfId="785"/>
    <cellStyle name="Comma 10 8 4 4" xfId="786"/>
    <cellStyle name="Comma 10 8 4 5" xfId="787"/>
    <cellStyle name="Comma 10 8 4 6" xfId="19404"/>
    <cellStyle name="Comma 10 8 4 7" xfId="19405"/>
    <cellStyle name="Comma 10 8 4 8" xfId="19406"/>
    <cellStyle name="Comma 10 8 5" xfId="788"/>
    <cellStyle name="Comma 10 8 5 2" xfId="789"/>
    <cellStyle name="Comma 10 8 5 3" xfId="790"/>
    <cellStyle name="Comma 10 8 5 4" xfId="791"/>
    <cellStyle name="Comma 10 8 5 5" xfId="792"/>
    <cellStyle name="Comma 10 8 5 6" xfId="19407"/>
    <cellStyle name="Comma 10 8 5 7" xfId="19408"/>
    <cellStyle name="Comma 10 8 5 8" xfId="19409"/>
    <cellStyle name="Comma 10 8 6" xfId="793"/>
    <cellStyle name="Comma 10 8 6 2" xfId="794"/>
    <cellStyle name="Comma 10 8 6 3" xfId="795"/>
    <cellStyle name="Comma 10 8 6 4" xfId="796"/>
    <cellStyle name="Comma 10 8 6 5" xfId="797"/>
    <cellStyle name="Comma 10 8 6 6" xfId="19410"/>
    <cellStyle name="Comma 10 8 6 7" xfId="19411"/>
    <cellStyle name="Comma 10 8 6 8" xfId="19412"/>
    <cellStyle name="Comma 10 8 7" xfId="798"/>
    <cellStyle name="Comma 10 8 8" xfId="799"/>
    <cellStyle name="Comma 10 8 9" xfId="800"/>
    <cellStyle name="Comma 10 9" xfId="801"/>
    <cellStyle name="Comma 10 9 2" xfId="802"/>
    <cellStyle name="Comma 10 9 3" xfId="803"/>
    <cellStyle name="Comma 10 9 4" xfId="804"/>
    <cellStyle name="Comma 10 9 5" xfId="805"/>
    <cellStyle name="Comma 10 9 6" xfId="19413"/>
    <cellStyle name="Comma 10 9 7" xfId="19414"/>
    <cellStyle name="Comma 10 9 8" xfId="19415"/>
    <cellStyle name="Comma 100" xfId="40187"/>
    <cellStyle name="Comma 101" xfId="40188"/>
    <cellStyle name="Comma 102" xfId="40189"/>
    <cellStyle name="Comma 103" xfId="40190"/>
    <cellStyle name="Comma 104" xfId="40104"/>
    <cellStyle name="Comma 104 2" xfId="40191"/>
    <cellStyle name="Comma 104 3" xfId="40192"/>
    <cellStyle name="Comma 104 4" xfId="40193"/>
    <cellStyle name="Comma 105" xfId="40194"/>
    <cellStyle name="Comma 106" xfId="40195"/>
    <cellStyle name="Comma 107" xfId="40196"/>
    <cellStyle name="Comma 108" xfId="40197"/>
    <cellStyle name="Comma 109" xfId="40198"/>
    <cellStyle name="Comma 11" xfId="806"/>
    <cellStyle name="Comma 11 2" xfId="19416"/>
    <cellStyle name="Comma 11 3" xfId="19417"/>
    <cellStyle name="Comma 11 4" xfId="19418"/>
    <cellStyle name="Comma 110" xfId="40199"/>
    <cellStyle name="Comma 111" xfId="40200"/>
    <cellStyle name="Comma 112" xfId="40201"/>
    <cellStyle name="Comma 113" xfId="40202"/>
    <cellStyle name="Comma 12" xfId="807"/>
    <cellStyle name="Comma 12 10" xfId="808"/>
    <cellStyle name="Comma 12 10 2" xfId="809"/>
    <cellStyle name="Comma 12 10 3" xfId="810"/>
    <cellStyle name="Comma 12 10 4" xfId="811"/>
    <cellStyle name="Comma 12 10 5" xfId="812"/>
    <cellStyle name="Comma 12 10 6" xfId="19419"/>
    <cellStyle name="Comma 12 10 7" xfId="19420"/>
    <cellStyle name="Comma 12 10 8" xfId="19421"/>
    <cellStyle name="Comma 12 11" xfId="813"/>
    <cellStyle name="Comma 12 11 2" xfId="814"/>
    <cellStyle name="Comma 12 11 3" xfId="815"/>
    <cellStyle name="Comma 12 11 4" xfId="816"/>
    <cellStyle name="Comma 12 11 5" xfId="817"/>
    <cellStyle name="Comma 12 11 6" xfId="19422"/>
    <cellStyle name="Comma 12 11 7" xfId="19423"/>
    <cellStyle name="Comma 12 11 8" xfId="19424"/>
    <cellStyle name="Comma 12 12" xfId="818"/>
    <cellStyle name="Comma 12 12 2" xfId="819"/>
    <cellStyle name="Comma 12 12 3" xfId="820"/>
    <cellStyle name="Comma 12 12 4" xfId="821"/>
    <cellStyle name="Comma 12 12 5" xfId="822"/>
    <cellStyle name="Comma 12 12 6" xfId="19425"/>
    <cellStyle name="Comma 12 12 7" xfId="19426"/>
    <cellStyle name="Comma 12 12 8" xfId="19427"/>
    <cellStyle name="Comma 12 13" xfId="40203"/>
    <cellStyle name="Comma 12 2" xfId="823"/>
    <cellStyle name="Comma 12 2 2" xfId="824"/>
    <cellStyle name="Comma 12 2 3" xfId="825"/>
    <cellStyle name="Comma 12 2 4" xfId="826"/>
    <cellStyle name="Comma 12 2 5" xfId="827"/>
    <cellStyle name="Comma 12 2 6" xfId="19428"/>
    <cellStyle name="Comma 12 2 7" xfId="19429"/>
    <cellStyle name="Comma 12 2 8" xfId="19430"/>
    <cellStyle name="Comma 12 3" xfId="828"/>
    <cellStyle name="Comma 12 3 2" xfId="829"/>
    <cellStyle name="Comma 12 3 3" xfId="830"/>
    <cellStyle name="Comma 12 3 4" xfId="831"/>
    <cellStyle name="Comma 12 3 5" xfId="832"/>
    <cellStyle name="Comma 12 3 6" xfId="19431"/>
    <cellStyle name="Comma 12 3 7" xfId="19432"/>
    <cellStyle name="Comma 12 3 8" xfId="19433"/>
    <cellStyle name="Comma 12 4" xfId="833"/>
    <cellStyle name="Comma 12 4 2" xfId="834"/>
    <cellStyle name="Comma 12 4 3" xfId="835"/>
    <cellStyle name="Comma 12 4 4" xfId="836"/>
    <cellStyle name="Comma 12 4 5" xfId="837"/>
    <cellStyle name="Comma 12 4 6" xfId="19434"/>
    <cellStyle name="Comma 12 4 7" xfId="19435"/>
    <cellStyle name="Comma 12 4 8" xfId="19436"/>
    <cellStyle name="Comma 12 5" xfId="838"/>
    <cellStyle name="Comma 12 5 2" xfId="839"/>
    <cellStyle name="Comma 12 5 3" xfId="840"/>
    <cellStyle name="Comma 12 5 4" xfId="841"/>
    <cellStyle name="Comma 12 5 5" xfId="842"/>
    <cellStyle name="Comma 12 5 6" xfId="19437"/>
    <cellStyle name="Comma 12 5 7" xfId="19438"/>
    <cellStyle name="Comma 12 5 8" xfId="19439"/>
    <cellStyle name="Comma 12 6" xfId="843"/>
    <cellStyle name="Comma 12 6 2" xfId="844"/>
    <cellStyle name="Comma 12 6 3" xfId="845"/>
    <cellStyle name="Comma 12 6 4" xfId="846"/>
    <cellStyle name="Comma 12 6 5" xfId="847"/>
    <cellStyle name="Comma 12 6 6" xfId="19440"/>
    <cellStyle name="Comma 12 6 7" xfId="19441"/>
    <cellStyle name="Comma 12 6 8" xfId="19442"/>
    <cellStyle name="Comma 12 7" xfId="848"/>
    <cellStyle name="Comma 12 7 2" xfId="849"/>
    <cellStyle name="Comma 12 7 3" xfId="850"/>
    <cellStyle name="Comma 12 7 4" xfId="851"/>
    <cellStyle name="Comma 12 7 5" xfId="852"/>
    <cellStyle name="Comma 12 7 6" xfId="19443"/>
    <cellStyle name="Comma 12 7 7" xfId="19444"/>
    <cellStyle name="Comma 12 7 8" xfId="19445"/>
    <cellStyle name="Comma 12 8" xfId="853"/>
    <cellStyle name="Comma 12 8 2" xfId="854"/>
    <cellStyle name="Comma 12 8 3" xfId="855"/>
    <cellStyle name="Comma 12 8 4" xfId="856"/>
    <cellStyle name="Comma 12 8 5" xfId="857"/>
    <cellStyle name="Comma 12 8 6" xfId="19446"/>
    <cellStyle name="Comma 12 8 7" xfId="19447"/>
    <cellStyle name="Comma 12 8 8" xfId="19448"/>
    <cellStyle name="Comma 12 9" xfId="858"/>
    <cellStyle name="Comma 12 9 2" xfId="859"/>
    <cellStyle name="Comma 12 9 3" xfId="860"/>
    <cellStyle name="Comma 12 9 4" xfId="861"/>
    <cellStyle name="Comma 12 9 5" xfId="862"/>
    <cellStyle name="Comma 12 9 6" xfId="19449"/>
    <cellStyle name="Comma 12 9 7" xfId="19450"/>
    <cellStyle name="Comma 12 9 8" xfId="19451"/>
    <cellStyle name="Comma 13" xfId="863"/>
    <cellStyle name="Comma 13 10" xfId="864"/>
    <cellStyle name="Comma 13 11" xfId="19452"/>
    <cellStyle name="Comma 13 12" xfId="19453"/>
    <cellStyle name="Comma 13 13" xfId="19454"/>
    <cellStyle name="Comma 13 2" xfId="865"/>
    <cellStyle name="Comma 13 2 10" xfId="19455"/>
    <cellStyle name="Comma 13 2 2" xfId="866"/>
    <cellStyle name="Comma 13 2 3" xfId="867"/>
    <cellStyle name="Comma 13 2 4" xfId="868"/>
    <cellStyle name="Comma 13 2 5" xfId="869"/>
    <cellStyle name="Comma 13 2 6" xfId="19456"/>
    <cellStyle name="Comma 13 2 7" xfId="19457"/>
    <cellStyle name="Comma 13 2 8" xfId="19458"/>
    <cellStyle name="Comma 13 2 9" xfId="19459"/>
    <cellStyle name="Comma 13 3" xfId="870"/>
    <cellStyle name="Comma 13 3 10" xfId="19460"/>
    <cellStyle name="Comma 13 3 2" xfId="871"/>
    <cellStyle name="Comma 13 3 3" xfId="872"/>
    <cellStyle name="Comma 13 3 4" xfId="873"/>
    <cellStyle name="Comma 13 3 5" xfId="874"/>
    <cellStyle name="Comma 13 3 6" xfId="19461"/>
    <cellStyle name="Comma 13 3 7" xfId="19462"/>
    <cellStyle name="Comma 13 3 8" xfId="19463"/>
    <cellStyle name="Comma 13 3 9" xfId="19464"/>
    <cellStyle name="Comma 13 4" xfId="875"/>
    <cellStyle name="Comma 13 4 2" xfId="876"/>
    <cellStyle name="Comma 13 4 3" xfId="877"/>
    <cellStyle name="Comma 13 4 4" xfId="878"/>
    <cellStyle name="Comma 13 4 5" xfId="879"/>
    <cellStyle name="Comma 13 4 6" xfId="19465"/>
    <cellStyle name="Comma 13 4 7" xfId="19466"/>
    <cellStyle name="Comma 13 4 8" xfId="19467"/>
    <cellStyle name="Comma 13 5" xfId="880"/>
    <cellStyle name="Comma 13 5 2" xfId="881"/>
    <cellStyle name="Comma 13 5 3" xfId="882"/>
    <cellStyle name="Comma 13 5 4" xfId="883"/>
    <cellStyle name="Comma 13 5 5" xfId="884"/>
    <cellStyle name="Comma 13 5 6" xfId="19468"/>
    <cellStyle name="Comma 13 5 7" xfId="19469"/>
    <cellStyle name="Comma 13 5 8" xfId="19470"/>
    <cellStyle name="Comma 13 6" xfId="885"/>
    <cellStyle name="Comma 13 6 2" xfId="886"/>
    <cellStyle name="Comma 13 6 3" xfId="887"/>
    <cellStyle name="Comma 13 6 4" xfId="888"/>
    <cellStyle name="Comma 13 6 5" xfId="889"/>
    <cellStyle name="Comma 13 6 6" xfId="19471"/>
    <cellStyle name="Comma 13 6 7" xfId="19472"/>
    <cellStyle name="Comma 13 6 8" xfId="19473"/>
    <cellStyle name="Comma 13 7" xfId="890"/>
    <cellStyle name="Comma 13 8" xfId="891"/>
    <cellStyle name="Comma 13 9" xfId="892"/>
    <cellStyle name="Comma 14" xfId="893"/>
    <cellStyle name="Comma 14 2" xfId="19474"/>
    <cellStyle name="Comma 14 3" xfId="19475"/>
    <cellStyle name="Comma 15" xfId="894"/>
    <cellStyle name="Comma 15 2" xfId="19476"/>
    <cellStyle name="Comma 15 3" xfId="19477"/>
    <cellStyle name="Comma 16" xfId="895"/>
    <cellStyle name="Comma 16 2" xfId="19478"/>
    <cellStyle name="Comma 16 3" xfId="19479"/>
    <cellStyle name="Comma 16 4" xfId="19480"/>
    <cellStyle name="Comma 17" xfId="896"/>
    <cellStyle name="Comma 17 2" xfId="897"/>
    <cellStyle name="Comma 17 3" xfId="898"/>
    <cellStyle name="Comma 17 4" xfId="899"/>
    <cellStyle name="Comma 17 5" xfId="900"/>
    <cellStyle name="Comma 17 6" xfId="19481"/>
    <cellStyle name="Comma 17 7" xfId="19482"/>
    <cellStyle name="Comma 17 8" xfId="19483"/>
    <cellStyle name="Comma 18" xfId="901"/>
    <cellStyle name="Comma 18 2" xfId="19484"/>
    <cellStyle name="Comma 18 3" xfId="19485"/>
    <cellStyle name="Comma 19" xfId="902"/>
    <cellStyle name="Comma 19 2" xfId="19486"/>
    <cellStyle name="Comma 19 3" xfId="19487"/>
    <cellStyle name="Comma 2" xfId="903"/>
    <cellStyle name="Comma 2 10" xfId="904"/>
    <cellStyle name="Comma 2 10 2" xfId="19488"/>
    <cellStyle name="Comma 2 10 3" xfId="19489"/>
    <cellStyle name="Comma 2 11" xfId="905"/>
    <cellStyle name="Comma 2 11 2" xfId="19490"/>
    <cellStyle name="Comma 2 11 3" xfId="19491"/>
    <cellStyle name="Comma 2 12" xfId="906"/>
    <cellStyle name="Comma 2 12 2" xfId="19492"/>
    <cellStyle name="Comma 2 12 3" xfId="19493"/>
    <cellStyle name="Comma 2 13" xfId="19494"/>
    <cellStyle name="Comma 2 13 2" xfId="19495"/>
    <cellStyle name="Comma 2 13 3" xfId="19496"/>
    <cellStyle name="Comma 2 14" xfId="19497"/>
    <cellStyle name="Comma 2 14 2" xfId="19498"/>
    <cellStyle name="Comma 2 14 3" xfId="19499"/>
    <cellStyle name="Comma 2 15" xfId="19500"/>
    <cellStyle name="Comma 2 15 2" xfId="19501"/>
    <cellStyle name="Comma 2 15 3" xfId="19502"/>
    <cellStyle name="Comma 2 16" xfId="19503"/>
    <cellStyle name="Comma 2 16 2" xfId="19504"/>
    <cellStyle name="Comma 2 16 3" xfId="19505"/>
    <cellStyle name="Comma 2 16 4" xfId="40204"/>
    <cellStyle name="Comma 2 17" xfId="19506"/>
    <cellStyle name="Comma 2 18" xfId="19507"/>
    <cellStyle name="Comma 2 19" xfId="19508"/>
    <cellStyle name="Comma 2 2" xfId="907"/>
    <cellStyle name="Comma 2 2 2" xfId="908"/>
    <cellStyle name="Comma 2 2 2 2" xfId="19509"/>
    <cellStyle name="Comma 2 2 2 2 2" xfId="19510"/>
    <cellStyle name="Comma 2 2 2 2 2 2" xfId="19511"/>
    <cellStyle name="Comma 2 2 2 2 3" xfId="19512"/>
    <cellStyle name="Comma 2 2 2 2 4" xfId="19513"/>
    <cellStyle name="Comma 2 2 2 3" xfId="19514"/>
    <cellStyle name="Comma 2 2 3" xfId="909"/>
    <cellStyle name="Comma 2 2 4" xfId="910"/>
    <cellStyle name="Comma 2 2 5" xfId="911"/>
    <cellStyle name="Comma 2 2 6" xfId="19515"/>
    <cellStyle name="Comma 2 2 7" xfId="19516"/>
    <cellStyle name="Comma 2 2 8" xfId="19517"/>
    <cellStyle name="Comma 2 2 9" xfId="19518"/>
    <cellStyle name="Comma 2 20" xfId="19519"/>
    <cellStyle name="Comma 2 3" xfId="912"/>
    <cellStyle name="Comma 2 3 2" xfId="913"/>
    <cellStyle name="Comma 2 3 3" xfId="914"/>
    <cellStyle name="Comma 2 3 4" xfId="915"/>
    <cellStyle name="Comma 2 3 5" xfId="916"/>
    <cellStyle name="Comma 2 3 6" xfId="19520"/>
    <cellStyle name="Comma 2 3 7" xfId="19521"/>
    <cellStyle name="Comma 2 3 8" xfId="19522"/>
    <cellStyle name="Comma 2 3 9" xfId="19523"/>
    <cellStyle name="Comma 2 4" xfId="917"/>
    <cellStyle name="Comma 2 4 2" xfId="918"/>
    <cellStyle name="Comma 2 4 3" xfId="919"/>
    <cellStyle name="Comma 2 4 4" xfId="920"/>
    <cellStyle name="Comma 2 4 5" xfId="921"/>
    <cellStyle name="Comma 2 4 6" xfId="19524"/>
    <cellStyle name="Comma 2 4 7" xfId="19525"/>
    <cellStyle name="Comma 2 4 8" xfId="19526"/>
    <cellStyle name="Comma 2 4 9" xfId="19527"/>
    <cellStyle name="Comma 2 5" xfId="922"/>
    <cellStyle name="Comma 2 5 2" xfId="923"/>
    <cellStyle name="Comma 2 5 3" xfId="924"/>
    <cellStyle name="Comma 2 5 4" xfId="925"/>
    <cellStyle name="Comma 2 5 5" xfId="926"/>
    <cellStyle name="Comma 2 5 6" xfId="19528"/>
    <cellStyle name="Comma 2 5 7" xfId="19529"/>
    <cellStyle name="Comma 2 5 8" xfId="19530"/>
    <cellStyle name="Comma 2 5 9" xfId="19531"/>
    <cellStyle name="Comma 2 6" xfId="927"/>
    <cellStyle name="Comma 2 6 2" xfId="928"/>
    <cellStyle name="Comma 2 6 3" xfId="929"/>
    <cellStyle name="Comma 2 6 4" xfId="930"/>
    <cellStyle name="Comma 2 6 5" xfId="931"/>
    <cellStyle name="Comma 2 6 6" xfId="19532"/>
    <cellStyle name="Comma 2 6 7" xfId="19533"/>
    <cellStyle name="Comma 2 6 8" xfId="19534"/>
    <cellStyle name="Comma 2 6 9" xfId="19535"/>
    <cellStyle name="Comma 2 7" xfId="932"/>
    <cellStyle name="Comma 2 7 2" xfId="933"/>
    <cellStyle name="Comma 2 7 3" xfId="934"/>
    <cellStyle name="Comma 2 7 4" xfId="935"/>
    <cellStyle name="Comma 2 7 5" xfId="936"/>
    <cellStyle name="Comma 2 7 6" xfId="19536"/>
    <cellStyle name="Comma 2 7 7" xfId="19537"/>
    <cellStyle name="Comma 2 7 8" xfId="19538"/>
    <cellStyle name="Comma 2 8" xfId="937"/>
    <cellStyle name="Comma 2 8 10" xfId="19539"/>
    <cellStyle name="Comma 2 8 2" xfId="938"/>
    <cellStyle name="Comma 2 8 3" xfId="939"/>
    <cellStyle name="Comma 2 8 4" xfId="940"/>
    <cellStyle name="Comma 2 8 5" xfId="941"/>
    <cellStyle name="Comma 2 8 6" xfId="19540"/>
    <cellStyle name="Comma 2 8 7" xfId="19541"/>
    <cellStyle name="Comma 2 8 8" xfId="19542"/>
    <cellStyle name="Comma 2 8 9" xfId="19543"/>
    <cellStyle name="Comma 2 9" xfId="942"/>
    <cellStyle name="Comma 2 9 10" xfId="19544"/>
    <cellStyle name="Comma 2 9 2" xfId="943"/>
    <cellStyle name="Comma 2 9 3" xfId="944"/>
    <cellStyle name="Comma 2 9 4" xfId="945"/>
    <cellStyle name="Comma 2 9 5" xfId="946"/>
    <cellStyle name="Comma 2 9 6" xfId="19545"/>
    <cellStyle name="Comma 2 9 7" xfId="19546"/>
    <cellStyle name="Comma 2 9 8" xfId="19547"/>
    <cellStyle name="Comma 2 9 9" xfId="19548"/>
    <cellStyle name="Comma 20" xfId="947"/>
    <cellStyle name="Comma 20 2" xfId="948"/>
    <cellStyle name="Comma 20 3" xfId="19549"/>
    <cellStyle name="Comma 21" xfId="949"/>
    <cellStyle name="Comma 21 2" xfId="19550"/>
    <cellStyle name="Comma 21 3" xfId="19551"/>
    <cellStyle name="Comma 22" xfId="950"/>
    <cellStyle name="Comma 22 2" xfId="19552"/>
    <cellStyle name="Comma 22 2 2" xfId="19553"/>
    <cellStyle name="Comma 22 2 3" xfId="19554"/>
    <cellStyle name="Comma 22 2 4" xfId="19555"/>
    <cellStyle name="Comma 22 2 5" xfId="19556"/>
    <cellStyle name="Comma 22 2 6" xfId="19557"/>
    <cellStyle name="Comma 22 3" xfId="19558"/>
    <cellStyle name="Comma 22 3 2" xfId="19559"/>
    <cellStyle name="Comma 22 3 3" xfId="19560"/>
    <cellStyle name="Comma 22 4" xfId="19561"/>
    <cellStyle name="Comma 22 5" xfId="19562"/>
    <cellStyle name="Comma 23" xfId="951"/>
    <cellStyle name="Comma 23 2" xfId="19563"/>
    <cellStyle name="Comma 23 3" xfId="19564"/>
    <cellStyle name="Comma 23 4" xfId="40205"/>
    <cellStyle name="Comma 24" xfId="19565"/>
    <cellStyle name="Comma 25" xfId="19566"/>
    <cellStyle name="Comma 26" xfId="19567"/>
    <cellStyle name="Comma 26 2" xfId="19568"/>
    <cellStyle name="Comma 27" xfId="19569"/>
    <cellStyle name="Comma 28" xfId="19570"/>
    <cellStyle name="Comma 28 2" xfId="19571"/>
    <cellStyle name="Comma 29" xfId="19572"/>
    <cellStyle name="Comma 3" xfId="952"/>
    <cellStyle name="Comma 3 10" xfId="953"/>
    <cellStyle name="Comma 3 10 2" xfId="954"/>
    <cellStyle name="Comma 3 10 3" xfId="955"/>
    <cellStyle name="Comma 3 10 4" xfId="956"/>
    <cellStyle name="Comma 3 10 5" xfId="957"/>
    <cellStyle name="Comma 3 10 6" xfId="19573"/>
    <cellStyle name="Comma 3 10 7" xfId="19574"/>
    <cellStyle name="Comma 3 10 8" xfId="19575"/>
    <cellStyle name="Comma 3 11" xfId="958"/>
    <cellStyle name="Comma 3 11 2" xfId="959"/>
    <cellStyle name="Comma 3 11 3" xfId="960"/>
    <cellStyle name="Comma 3 11 4" xfId="961"/>
    <cellStyle name="Comma 3 11 5" xfId="962"/>
    <cellStyle name="Comma 3 11 6" xfId="19576"/>
    <cellStyle name="Comma 3 11 7" xfId="19577"/>
    <cellStyle name="Comma 3 11 8" xfId="19578"/>
    <cellStyle name="Comma 3 12" xfId="963"/>
    <cellStyle name="Comma 3 12 2" xfId="964"/>
    <cellStyle name="Comma 3 12 3" xfId="965"/>
    <cellStyle name="Comma 3 12 4" xfId="966"/>
    <cellStyle name="Comma 3 12 5" xfId="967"/>
    <cellStyle name="Comma 3 12 6" xfId="19579"/>
    <cellStyle name="Comma 3 12 7" xfId="19580"/>
    <cellStyle name="Comma 3 12 8" xfId="19581"/>
    <cellStyle name="Comma 3 13" xfId="968"/>
    <cellStyle name="Comma 3 13 10" xfId="19582"/>
    <cellStyle name="Comma 3 13 2" xfId="969"/>
    <cellStyle name="Comma 3 13 3" xfId="970"/>
    <cellStyle name="Comma 3 13 4" xfId="971"/>
    <cellStyle name="Comma 3 13 5" xfId="972"/>
    <cellStyle name="Comma 3 13 6" xfId="19583"/>
    <cellStyle name="Comma 3 13 7" xfId="19584"/>
    <cellStyle name="Comma 3 13 8" xfId="19585"/>
    <cellStyle name="Comma 3 13 9" xfId="19586"/>
    <cellStyle name="Comma 3 14" xfId="973"/>
    <cellStyle name="Comma 3 14 2" xfId="974"/>
    <cellStyle name="Comma 3 14 3" xfId="975"/>
    <cellStyle name="Comma 3 14 4" xfId="976"/>
    <cellStyle name="Comma 3 14 5" xfId="977"/>
    <cellStyle name="Comma 3 14 6" xfId="19587"/>
    <cellStyle name="Comma 3 14 7" xfId="19588"/>
    <cellStyle name="Comma 3 14 8" xfId="19589"/>
    <cellStyle name="Comma 3 15" xfId="978"/>
    <cellStyle name="Comma 3 15 2" xfId="979"/>
    <cellStyle name="Comma 3 15 3" xfId="980"/>
    <cellStyle name="Comma 3 15 4" xfId="981"/>
    <cellStyle name="Comma 3 15 5" xfId="982"/>
    <cellStyle name="Comma 3 15 6" xfId="19590"/>
    <cellStyle name="Comma 3 15 7" xfId="19591"/>
    <cellStyle name="Comma 3 15 8" xfId="19592"/>
    <cellStyle name="Comma 3 16" xfId="983"/>
    <cellStyle name="Comma 3 16 2" xfId="984"/>
    <cellStyle name="Comma 3 16 3" xfId="985"/>
    <cellStyle name="Comma 3 16 4" xfId="986"/>
    <cellStyle name="Comma 3 16 5" xfId="987"/>
    <cellStyle name="Comma 3 16 6" xfId="19593"/>
    <cellStyle name="Comma 3 16 7" xfId="19594"/>
    <cellStyle name="Comma 3 16 8" xfId="19595"/>
    <cellStyle name="Comma 3 17" xfId="988"/>
    <cellStyle name="Comma 3 17 2" xfId="989"/>
    <cellStyle name="Comma 3 17 3" xfId="990"/>
    <cellStyle name="Comma 3 17 4" xfId="991"/>
    <cellStyle name="Comma 3 17 5" xfId="992"/>
    <cellStyle name="Comma 3 17 6" xfId="19596"/>
    <cellStyle name="Comma 3 17 7" xfId="19597"/>
    <cellStyle name="Comma 3 17 8" xfId="19598"/>
    <cellStyle name="Comma 3 18" xfId="993"/>
    <cellStyle name="Comma 3 19" xfId="994"/>
    <cellStyle name="Comma 3 2" xfId="995"/>
    <cellStyle name="Comma 3 2 2" xfId="996"/>
    <cellStyle name="Comma 3 2 3" xfId="997"/>
    <cellStyle name="Comma 3 2 4" xfId="998"/>
    <cellStyle name="Comma 3 2 5" xfId="999"/>
    <cellStyle name="Comma 3 2 6" xfId="19599"/>
    <cellStyle name="Comma 3 2 7" xfId="19600"/>
    <cellStyle name="Comma 3 2 8" xfId="19601"/>
    <cellStyle name="Comma 3 2 9" xfId="19602"/>
    <cellStyle name="Comma 3 2 9 2" xfId="19603"/>
    <cellStyle name="Comma 3 2 9 3" xfId="19604"/>
    <cellStyle name="Comma 3 2 9 4" xfId="19605"/>
    <cellStyle name="Comma 3 2 9 4 2" xfId="40071"/>
    <cellStyle name="Comma 3 2 9 5" xfId="40206"/>
    <cellStyle name="Comma 3 2 9 5 2" xfId="40207"/>
    <cellStyle name="Comma 3 20" xfId="1000"/>
    <cellStyle name="Comma 3 21" xfId="1001"/>
    <cellStyle name="Comma 3 22" xfId="19606"/>
    <cellStyle name="Comma 3 23" xfId="19607"/>
    <cellStyle name="Comma 3 24" xfId="19608"/>
    <cellStyle name="Comma 3 25" xfId="19609"/>
    <cellStyle name="Comma 3 26" xfId="19610"/>
    <cellStyle name="Comma 3 3" xfId="1002"/>
    <cellStyle name="Comma 3 3 2" xfId="1003"/>
    <cellStyle name="Comma 3 3 3" xfId="1004"/>
    <cellStyle name="Comma 3 3 4" xfId="1005"/>
    <cellStyle name="Comma 3 3 5" xfId="1006"/>
    <cellStyle name="Comma 3 3 6" xfId="19611"/>
    <cellStyle name="Comma 3 3 7" xfId="19612"/>
    <cellStyle name="Comma 3 3 8" xfId="19613"/>
    <cellStyle name="Comma 3 4" xfId="1007"/>
    <cellStyle name="Comma 3 4 2" xfId="1008"/>
    <cellStyle name="Comma 3 4 3" xfId="1009"/>
    <cellStyle name="Comma 3 4 4" xfId="1010"/>
    <cellStyle name="Comma 3 4 5" xfId="1011"/>
    <cellStyle name="Comma 3 4 6" xfId="19614"/>
    <cellStyle name="Comma 3 4 7" xfId="19615"/>
    <cellStyle name="Comma 3 4 8" xfId="19616"/>
    <cellStyle name="Comma 3 5" xfId="1012"/>
    <cellStyle name="Comma 3 5 2" xfId="1013"/>
    <cellStyle name="Comma 3 5 3" xfId="1014"/>
    <cellStyle name="Comma 3 5 4" xfId="1015"/>
    <cellStyle name="Comma 3 5 5" xfId="1016"/>
    <cellStyle name="Comma 3 5 6" xfId="19617"/>
    <cellStyle name="Comma 3 5 7" xfId="19618"/>
    <cellStyle name="Comma 3 5 8" xfId="19619"/>
    <cellStyle name="Comma 3 6" xfId="1017"/>
    <cellStyle name="Comma 3 6 2" xfId="1018"/>
    <cellStyle name="Comma 3 6 3" xfId="1019"/>
    <cellStyle name="Comma 3 6 4" xfId="1020"/>
    <cellStyle name="Comma 3 6 5" xfId="1021"/>
    <cellStyle name="Comma 3 6 6" xfId="19620"/>
    <cellStyle name="Comma 3 6 7" xfId="19621"/>
    <cellStyle name="Comma 3 6 8" xfId="19622"/>
    <cellStyle name="Comma 3 7" xfId="1022"/>
    <cellStyle name="Comma 3 7 2" xfId="1023"/>
    <cellStyle name="Comma 3 7 3" xfId="1024"/>
    <cellStyle name="Comma 3 7 4" xfId="1025"/>
    <cellStyle name="Comma 3 7 5" xfId="1026"/>
    <cellStyle name="Comma 3 7 6" xfId="19623"/>
    <cellStyle name="Comma 3 7 7" xfId="19624"/>
    <cellStyle name="Comma 3 7 8" xfId="19625"/>
    <cellStyle name="Comma 3 8" xfId="1027"/>
    <cellStyle name="Comma 3 8 2" xfId="1028"/>
    <cellStyle name="Comma 3 8 3" xfId="1029"/>
    <cellStyle name="Comma 3 8 4" xfId="1030"/>
    <cellStyle name="Comma 3 8 5" xfId="1031"/>
    <cellStyle name="Comma 3 8 6" xfId="19626"/>
    <cellStyle name="Comma 3 8 7" xfId="19627"/>
    <cellStyle name="Comma 3 8 8" xfId="19628"/>
    <cellStyle name="Comma 3 9" xfId="1032"/>
    <cellStyle name="Comma 3 9 2" xfId="1033"/>
    <cellStyle name="Comma 3 9 3" xfId="1034"/>
    <cellStyle name="Comma 3 9 4" xfId="1035"/>
    <cellStyle name="Comma 3 9 5" xfId="1036"/>
    <cellStyle name="Comma 3 9 6" xfId="19629"/>
    <cellStyle name="Comma 3 9 7" xfId="19630"/>
    <cellStyle name="Comma 3 9 8" xfId="19631"/>
    <cellStyle name="Comma 30" xfId="14458"/>
    <cellStyle name="Comma 30 10" xfId="40208"/>
    <cellStyle name="Comma 30 2" xfId="19632"/>
    <cellStyle name="Comma 30 2 2" xfId="40072"/>
    <cellStyle name="Comma 30 2 2 2" xfId="40209"/>
    <cellStyle name="Comma 30 3" xfId="19633"/>
    <cellStyle name="Comma 30 4" xfId="19634"/>
    <cellStyle name="Comma 30 4 2" xfId="40073"/>
    <cellStyle name="Comma 30 5" xfId="19635"/>
    <cellStyle name="Comma 30 6" xfId="19636"/>
    <cellStyle name="Comma 30 7" xfId="19637"/>
    <cellStyle name="Comma 30 8" xfId="40065"/>
    <cellStyle name="Comma 30 8 2" xfId="40092"/>
    <cellStyle name="Comma 30 8 3" xfId="40095"/>
    <cellStyle name="Comma 30 9" xfId="40070"/>
    <cellStyle name="Comma 31" xfId="19638"/>
    <cellStyle name="Comma 32" xfId="19639"/>
    <cellStyle name="Comma 32 2" xfId="19640"/>
    <cellStyle name="Comma 32 2 2" xfId="40210"/>
    <cellStyle name="Comma 32 3" xfId="19641"/>
    <cellStyle name="Comma 32 4" xfId="40068"/>
    <cellStyle name="Comma 32 4 2" xfId="40084"/>
    <cellStyle name="Comma 33" xfId="19642"/>
    <cellStyle name="Comma 34" xfId="19643"/>
    <cellStyle name="Comma 34 2" xfId="40074"/>
    <cellStyle name="Comma 35" xfId="19644"/>
    <cellStyle name="Comma 36" xfId="19645"/>
    <cellStyle name="Comma 37" xfId="19646"/>
    <cellStyle name="Comma 38" xfId="40086"/>
    <cellStyle name="Comma 38 2" xfId="40087"/>
    <cellStyle name="Comma 38 2 2" xfId="40211"/>
    <cellStyle name="Comma 39" xfId="40097"/>
    <cellStyle name="Comma 4" xfId="1037"/>
    <cellStyle name="Comma 4 10" xfId="1038"/>
    <cellStyle name="Comma 4 11" xfId="19647"/>
    <cellStyle name="Comma 4 12" xfId="19648"/>
    <cellStyle name="Comma 4 13" xfId="19649"/>
    <cellStyle name="Comma 4 14" xfId="19650"/>
    <cellStyle name="Comma 4 2" xfId="1039"/>
    <cellStyle name="Comma 4 2 2" xfId="1040"/>
    <cellStyle name="Comma 4 2 3" xfId="1041"/>
    <cellStyle name="Comma 4 2 4" xfId="1042"/>
    <cellStyle name="Comma 4 2 5" xfId="1043"/>
    <cellStyle name="Comma 4 2 6" xfId="19651"/>
    <cellStyle name="Comma 4 2 7" xfId="19652"/>
    <cellStyle name="Comma 4 2 8" xfId="19653"/>
    <cellStyle name="Comma 4 2 9" xfId="19654"/>
    <cellStyle name="Comma 4 3" xfId="1044"/>
    <cellStyle name="Comma 4 3 2" xfId="1045"/>
    <cellStyle name="Comma 4 3 3" xfId="1046"/>
    <cellStyle name="Comma 4 3 4" xfId="1047"/>
    <cellStyle name="Comma 4 3 5" xfId="1048"/>
    <cellStyle name="Comma 4 3 6" xfId="19655"/>
    <cellStyle name="Comma 4 3 7" xfId="19656"/>
    <cellStyle name="Comma 4 3 8" xfId="19657"/>
    <cellStyle name="Comma 4 4" xfId="1049"/>
    <cellStyle name="Comma 4 4 2" xfId="1050"/>
    <cellStyle name="Comma 4 4 3" xfId="1051"/>
    <cellStyle name="Comma 4 4 4" xfId="1052"/>
    <cellStyle name="Comma 4 4 5" xfId="1053"/>
    <cellStyle name="Comma 4 4 6" xfId="19658"/>
    <cellStyle name="Comma 4 4 7" xfId="19659"/>
    <cellStyle name="Comma 4 4 8" xfId="19660"/>
    <cellStyle name="Comma 4 5" xfId="1054"/>
    <cellStyle name="Comma 4 5 2" xfId="1055"/>
    <cellStyle name="Comma 4 5 3" xfId="1056"/>
    <cellStyle name="Comma 4 5 4" xfId="1057"/>
    <cellStyle name="Comma 4 5 5" xfId="1058"/>
    <cellStyle name="Comma 4 5 6" xfId="19661"/>
    <cellStyle name="Comma 4 5 7" xfId="19662"/>
    <cellStyle name="Comma 4 5 8" xfId="19663"/>
    <cellStyle name="Comma 4 6" xfId="1059"/>
    <cellStyle name="Comma 4 6 2" xfId="1060"/>
    <cellStyle name="Comma 4 6 3" xfId="1061"/>
    <cellStyle name="Comma 4 6 4" xfId="1062"/>
    <cellStyle name="Comma 4 6 5" xfId="1063"/>
    <cellStyle name="Comma 4 6 6" xfId="19664"/>
    <cellStyle name="Comma 4 6 7" xfId="19665"/>
    <cellStyle name="Comma 4 6 8" xfId="19666"/>
    <cellStyle name="Comma 4 7" xfId="1064"/>
    <cellStyle name="Comma 4 7 2" xfId="19667"/>
    <cellStyle name="Comma 4 7 3" xfId="19668"/>
    <cellStyle name="Comma 4 8" xfId="1065"/>
    <cellStyle name="Comma 4 9" xfId="1066"/>
    <cellStyle name="Comma 40" xfId="40101"/>
    <cellStyle name="Comma 41" xfId="40212"/>
    <cellStyle name="Comma 42" xfId="40213"/>
    <cellStyle name="Comma 43" xfId="40214"/>
    <cellStyle name="Comma 44" xfId="40215"/>
    <cellStyle name="Comma 45" xfId="40216"/>
    <cellStyle name="Comma 46" xfId="40217"/>
    <cellStyle name="Comma 47" xfId="40218"/>
    <cellStyle name="Comma 48" xfId="40219"/>
    <cellStyle name="Comma 49" xfId="40220"/>
    <cellStyle name="Comma 5" xfId="1067"/>
    <cellStyle name="Comma 5 2" xfId="1068"/>
    <cellStyle name="Comma 5 2 2" xfId="19669"/>
    <cellStyle name="Comma 5 2 3" xfId="19670"/>
    <cellStyle name="Comma 5 3" xfId="1069"/>
    <cellStyle name="Comma 5 4" xfId="1070"/>
    <cellStyle name="Comma 5 5" xfId="1071"/>
    <cellStyle name="Comma 5 6" xfId="19671"/>
    <cellStyle name="Comma 5 7" xfId="19672"/>
    <cellStyle name="Comma 5 8" xfId="19673"/>
    <cellStyle name="Comma 5 9" xfId="19674"/>
    <cellStyle name="Comma 50" xfId="40221"/>
    <cellStyle name="Comma 51" xfId="40222"/>
    <cellStyle name="Comma 52" xfId="40223"/>
    <cellStyle name="Comma 53" xfId="40224"/>
    <cellStyle name="Comma 54" xfId="40225"/>
    <cellStyle name="Comma 55" xfId="40226"/>
    <cellStyle name="Comma 56" xfId="40227"/>
    <cellStyle name="Comma 56 2" xfId="40228"/>
    <cellStyle name="Comma 57" xfId="40229"/>
    <cellStyle name="Comma 58" xfId="40230"/>
    <cellStyle name="Comma 59" xfId="40231"/>
    <cellStyle name="Comma 6" xfId="1072"/>
    <cellStyle name="Comma 6 10" xfId="19675"/>
    <cellStyle name="Comma 6 2" xfId="1073"/>
    <cellStyle name="Comma 6 2 2" xfId="19676"/>
    <cellStyle name="Comma 6 2 3" xfId="19677"/>
    <cellStyle name="Comma 6 3" xfId="1074"/>
    <cellStyle name="Comma 6 4" xfId="1075"/>
    <cellStyle name="Comma 6 5" xfId="1076"/>
    <cellStyle name="Comma 6 6" xfId="1077"/>
    <cellStyle name="Comma 6 7" xfId="19678"/>
    <cellStyle name="Comma 6 8" xfId="19679"/>
    <cellStyle name="Comma 6 9" xfId="19680"/>
    <cellStyle name="Comma 60" xfId="40232"/>
    <cellStyle name="Comma 61" xfId="40233"/>
    <cellStyle name="Comma 62" xfId="40234"/>
    <cellStyle name="Comma 63" xfId="40235"/>
    <cellStyle name="Comma 64" xfId="40236"/>
    <cellStyle name="Comma 65" xfId="40237"/>
    <cellStyle name="Comma 66" xfId="40238"/>
    <cellStyle name="Comma 67" xfId="40239"/>
    <cellStyle name="Comma 68" xfId="40240"/>
    <cellStyle name="Comma 69" xfId="40241"/>
    <cellStyle name="Comma 7" xfId="1078"/>
    <cellStyle name="Comma 7 10" xfId="19681"/>
    <cellStyle name="Comma 7 2" xfId="1079"/>
    <cellStyle name="Comma 7 2 2" xfId="19682"/>
    <cellStyle name="Comma 7 2 3" xfId="19683"/>
    <cellStyle name="Comma 7 3" xfId="1080"/>
    <cellStyle name="Comma 7 3 2" xfId="19684"/>
    <cellStyle name="Comma 7 3 3" xfId="19685"/>
    <cellStyle name="Comma 7 4" xfId="1081"/>
    <cellStyle name="Comma 7 5" xfId="1082"/>
    <cellStyle name="Comma 7 6" xfId="1083"/>
    <cellStyle name="Comma 7 7" xfId="19686"/>
    <cellStyle name="Comma 7 8" xfId="19687"/>
    <cellStyle name="Comma 7 9" xfId="19688"/>
    <cellStyle name="Comma 70" xfId="40242"/>
    <cellStyle name="Comma 71" xfId="40243"/>
    <cellStyle name="Comma 72" xfId="40244"/>
    <cellStyle name="Comma 73" xfId="40245"/>
    <cellStyle name="Comma 74" xfId="40246"/>
    <cellStyle name="Comma 75" xfId="40247"/>
    <cellStyle name="Comma 76" xfId="40248"/>
    <cellStyle name="Comma 77" xfId="40249"/>
    <cellStyle name="Comma 78" xfId="40250"/>
    <cellStyle name="Comma 79" xfId="40251"/>
    <cellStyle name="Comma 8" xfId="1084"/>
    <cellStyle name="Comma 8 10" xfId="19689"/>
    <cellStyle name="Comma 8 2" xfId="1085"/>
    <cellStyle name="Comma 8 2 2" xfId="19690"/>
    <cellStyle name="Comma 8 2 3" xfId="19691"/>
    <cellStyle name="Comma 8 3" xfId="1086"/>
    <cellStyle name="Comma 8 4" xfId="1087"/>
    <cellStyle name="Comma 8 5" xfId="1088"/>
    <cellStyle name="Comma 8 6" xfId="19692"/>
    <cellStyle name="Comma 8 7" xfId="19693"/>
    <cellStyle name="Comma 8 8" xfId="19694"/>
    <cellStyle name="Comma 8 9" xfId="19695"/>
    <cellStyle name="Comma 80" xfId="40252"/>
    <cellStyle name="Comma 81" xfId="40253"/>
    <cellStyle name="Comma 82" xfId="40254"/>
    <cellStyle name="Comma 83" xfId="40255"/>
    <cellStyle name="Comma 84" xfId="40256"/>
    <cellStyle name="Comma 85" xfId="40257"/>
    <cellStyle name="Comma 86" xfId="40258"/>
    <cellStyle name="Comma 87" xfId="40259"/>
    <cellStyle name="Comma 88" xfId="40260"/>
    <cellStyle name="Comma 89" xfId="40261"/>
    <cellStyle name="Comma 9" xfId="1089"/>
    <cellStyle name="Comma 9 10" xfId="19696"/>
    <cellStyle name="Comma 9 2" xfId="1090"/>
    <cellStyle name="Comma 9 2 2" xfId="19697"/>
    <cellStyle name="Comma 9 2 3" xfId="19698"/>
    <cellStyle name="Comma 9 3" xfId="1091"/>
    <cellStyle name="Comma 9 3 2" xfId="19699"/>
    <cellStyle name="Comma 9 3 3" xfId="19700"/>
    <cellStyle name="Comma 9 4" xfId="1092"/>
    <cellStyle name="Comma 9 5" xfId="1093"/>
    <cellStyle name="Comma 9 6" xfId="19701"/>
    <cellStyle name="Comma 9 7" xfId="19702"/>
    <cellStyle name="Comma 9 8" xfId="19703"/>
    <cellStyle name="Comma 9 9" xfId="19704"/>
    <cellStyle name="Comma 90" xfId="40262"/>
    <cellStyle name="Comma 91" xfId="40263"/>
    <cellStyle name="Comma 92" xfId="40264"/>
    <cellStyle name="Comma 93" xfId="40265"/>
    <cellStyle name="Comma 94" xfId="40266"/>
    <cellStyle name="Comma 95" xfId="40267"/>
    <cellStyle name="Comma 96" xfId="40268"/>
    <cellStyle name="Comma 97" xfId="40269"/>
    <cellStyle name="Comma 98" xfId="40270"/>
    <cellStyle name="Comma 99" xfId="40271"/>
    <cellStyle name="Comma'000" xfId="19705"/>
    <cellStyle name="Currency" xfId="40465" builtinId="4"/>
    <cellStyle name="Currency 2" xfId="19706"/>
    <cellStyle name="Custom - Style8" xfId="19707"/>
    <cellStyle name="Data   - Style2" xfId="19708"/>
    <cellStyle name="Define your own named style" xfId="19709"/>
    <cellStyle name="Define your own named style 2" xfId="40272"/>
    <cellStyle name="Draw lines around data in range" xfId="19710"/>
    <cellStyle name="Draw lines around data in range 2" xfId="40273"/>
    <cellStyle name="Draw shadow and lines within range" xfId="19711"/>
    <cellStyle name="Draw shadow and lines within range 2" xfId="40274"/>
    <cellStyle name="Enlarge title text, yellow on blue" xfId="19712"/>
    <cellStyle name="Enlarge title text, yellow on blue 2" xfId="40275"/>
    <cellStyle name="Euro" xfId="19713"/>
    <cellStyle name="Excel Built-in Comma" xfId="40276"/>
    <cellStyle name="Excel Built-in Comma [0]" xfId="40277"/>
    <cellStyle name="Excel Built-in Comma 1" xfId="40278"/>
    <cellStyle name="Excel Built-in Normal" xfId="40279"/>
    <cellStyle name="Excel Built-in Normal 1" xfId="40280"/>
    <cellStyle name="Excel Built-in Normal 2" xfId="40281"/>
    <cellStyle name="Excel_BuiltIn_Comma 1" xfId="19714"/>
    <cellStyle name="Explanatory Text 10" xfId="19715"/>
    <cellStyle name="Explanatory Text 11" xfId="19716"/>
    <cellStyle name="Explanatory Text 12" xfId="19717"/>
    <cellStyle name="Explanatory Text 13" xfId="19718"/>
    <cellStyle name="Explanatory Text 13 2" xfId="19719"/>
    <cellStyle name="Explanatory Text 13 3" xfId="19720"/>
    <cellStyle name="Explanatory Text 14" xfId="40282"/>
    <cellStyle name="Explanatory Text 15" xfId="40283"/>
    <cellStyle name="Explanatory Text 2" xfId="19721"/>
    <cellStyle name="Explanatory Text 2 2" xfId="19722"/>
    <cellStyle name="Explanatory Text 2 3" xfId="19723"/>
    <cellStyle name="Explanatory Text 2 4" xfId="19724"/>
    <cellStyle name="Explanatory Text 2 5" xfId="19725"/>
    <cellStyle name="Explanatory Text 2 6" xfId="19726"/>
    <cellStyle name="Explanatory Text 3" xfId="19727"/>
    <cellStyle name="Explanatory Text 4" xfId="19728"/>
    <cellStyle name="Explanatory Text 5" xfId="19729"/>
    <cellStyle name="Explanatory Text 6" xfId="19730"/>
    <cellStyle name="Explanatory Text 7" xfId="19731"/>
    <cellStyle name="Explanatory Text 8" xfId="19732"/>
    <cellStyle name="Explanatory Text 9" xfId="19733"/>
    <cellStyle name="Format a column of totals" xfId="19734"/>
    <cellStyle name="Format a column of totals 2" xfId="40284"/>
    <cellStyle name="Format a row of totals" xfId="19735"/>
    <cellStyle name="Format a row of totals 2" xfId="40285"/>
    <cellStyle name="Format text as bold, black on yellow" xfId="19736"/>
    <cellStyle name="Format text as bold, black on yellow 2" xfId="40286"/>
    <cellStyle name="Good 10" xfId="19737"/>
    <cellStyle name="Good 10 2" xfId="19738"/>
    <cellStyle name="Good 10 3" xfId="19739"/>
    <cellStyle name="Good 11" xfId="19740"/>
    <cellStyle name="Good 12" xfId="19741"/>
    <cellStyle name="Good 13" xfId="19742"/>
    <cellStyle name="Good 13 2" xfId="19743"/>
    <cellStyle name="Good 13 3" xfId="19744"/>
    <cellStyle name="Good 14" xfId="40287"/>
    <cellStyle name="Good 15" xfId="40288"/>
    <cellStyle name="Good 16" xfId="40289"/>
    <cellStyle name="Good 2" xfId="19745"/>
    <cellStyle name="Good 2 2" xfId="19746"/>
    <cellStyle name="Good 2 3" xfId="19747"/>
    <cellStyle name="Good 2 4" xfId="19748"/>
    <cellStyle name="Good 2 5" xfId="19749"/>
    <cellStyle name="Good 2 6" xfId="19750"/>
    <cellStyle name="Good 3" xfId="19751"/>
    <cellStyle name="Good 4" xfId="19752"/>
    <cellStyle name="Good 5" xfId="19753"/>
    <cellStyle name="Good 6" xfId="19754"/>
    <cellStyle name="Good 7" xfId="19755"/>
    <cellStyle name="Good 7 2" xfId="19756"/>
    <cellStyle name="Good 7 3" xfId="19757"/>
    <cellStyle name="Good 8" xfId="19758"/>
    <cellStyle name="Good 8 2" xfId="19759"/>
    <cellStyle name="Good 8 3" xfId="19760"/>
    <cellStyle name="Good 9" xfId="19761"/>
    <cellStyle name="Header1" xfId="19762"/>
    <cellStyle name="Header1 2" xfId="40290"/>
    <cellStyle name="Header2" xfId="19763"/>
    <cellStyle name="Header2 2" xfId="40291"/>
    <cellStyle name="Heading 1 10" xfId="19764"/>
    <cellStyle name="Heading 1 11" xfId="19765"/>
    <cellStyle name="Heading 1 12" xfId="19766"/>
    <cellStyle name="Heading 1 13" xfId="19767"/>
    <cellStyle name="Heading 1 13 2" xfId="19768"/>
    <cellStyle name="Heading 1 13 3" xfId="19769"/>
    <cellStyle name="Heading 1 14" xfId="40292"/>
    <cellStyle name="Heading 1 15" xfId="40293"/>
    <cellStyle name="Heading 1 2" xfId="19770"/>
    <cellStyle name="Heading 1 2 2" xfId="19771"/>
    <cellStyle name="Heading 1 2 3" xfId="19772"/>
    <cellStyle name="Heading 1 2 4" xfId="19773"/>
    <cellStyle name="Heading 1 2 5" xfId="19774"/>
    <cellStyle name="Heading 1 2 6" xfId="19775"/>
    <cellStyle name="Heading 1 3" xfId="19776"/>
    <cellStyle name="Heading 1 4" xfId="19777"/>
    <cellStyle name="Heading 1 5" xfId="19778"/>
    <cellStyle name="Heading 1 6" xfId="19779"/>
    <cellStyle name="Heading 1 7" xfId="19780"/>
    <cellStyle name="Heading 1 8" xfId="19781"/>
    <cellStyle name="Heading 1 9" xfId="19782"/>
    <cellStyle name="Heading 2 10" xfId="19783"/>
    <cellStyle name="Heading 2 11" xfId="19784"/>
    <cellStyle name="Heading 2 12" xfId="19785"/>
    <cellStyle name="Heading 2 13" xfId="19786"/>
    <cellStyle name="Heading 2 13 2" xfId="19787"/>
    <cellStyle name="Heading 2 13 3" xfId="19788"/>
    <cellStyle name="Heading 2 14" xfId="40294"/>
    <cellStyle name="Heading 2 15" xfId="40295"/>
    <cellStyle name="Heading 2 2" xfId="19789"/>
    <cellStyle name="Heading 2 2 2" xfId="19790"/>
    <cellStyle name="Heading 2 2 3" xfId="19791"/>
    <cellStyle name="Heading 2 2 4" xfId="19792"/>
    <cellStyle name="Heading 2 2 5" xfId="19793"/>
    <cellStyle name="Heading 2 2 6" xfId="19794"/>
    <cellStyle name="Heading 2 3" xfId="19795"/>
    <cellStyle name="Heading 2 4" xfId="19796"/>
    <cellStyle name="Heading 2 5" xfId="19797"/>
    <cellStyle name="Heading 2 6" xfId="19798"/>
    <cellStyle name="Heading 2 7" xfId="19799"/>
    <cellStyle name="Heading 2 8" xfId="19800"/>
    <cellStyle name="Heading 2 9" xfId="19801"/>
    <cellStyle name="Heading 3 10" xfId="19802"/>
    <cellStyle name="Heading 3 11" xfId="19803"/>
    <cellStyle name="Heading 3 12" xfId="19804"/>
    <cellStyle name="Heading 3 13" xfId="19805"/>
    <cellStyle name="Heading 3 13 2" xfId="19806"/>
    <cellStyle name="Heading 3 13 3" xfId="19807"/>
    <cellStyle name="Heading 3 14" xfId="40296"/>
    <cellStyle name="Heading 3 15" xfId="40297"/>
    <cellStyle name="Heading 3 2" xfId="19808"/>
    <cellStyle name="Heading 3 2 2" xfId="19809"/>
    <cellStyle name="Heading 3 2 3" xfId="19810"/>
    <cellStyle name="Heading 3 2 4" xfId="19811"/>
    <cellStyle name="Heading 3 2 5" xfId="19812"/>
    <cellStyle name="Heading 3 2 6" xfId="19813"/>
    <cellStyle name="Heading 3 3" xfId="19814"/>
    <cellStyle name="Heading 3 4" xfId="19815"/>
    <cellStyle name="Heading 3 5" xfId="19816"/>
    <cellStyle name="Heading 3 6" xfId="19817"/>
    <cellStyle name="Heading 3 7" xfId="19818"/>
    <cellStyle name="Heading 3 8" xfId="19819"/>
    <cellStyle name="Heading 3 9" xfId="19820"/>
    <cellStyle name="Heading 4 10" xfId="19821"/>
    <cellStyle name="Heading 4 11" xfId="19822"/>
    <cellStyle name="Heading 4 12" xfId="19823"/>
    <cellStyle name="Heading 4 13" xfId="19824"/>
    <cellStyle name="Heading 4 13 2" xfId="19825"/>
    <cellStyle name="Heading 4 13 3" xfId="19826"/>
    <cellStyle name="Heading 4 14" xfId="40298"/>
    <cellStyle name="Heading 4 15" xfId="40299"/>
    <cellStyle name="Heading 4 2" xfId="19827"/>
    <cellStyle name="Heading 4 2 2" xfId="19828"/>
    <cellStyle name="Heading 4 2 3" xfId="19829"/>
    <cellStyle name="Heading 4 2 4" xfId="19830"/>
    <cellStyle name="Heading 4 2 5" xfId="19831"/>
    <cellStyle name="Heading 4 2 6" xfId="19832"/>
    <cellStyle name="Heading 4 3" xfId="19833"/>
    <cellStyle name="Heading 4 4" xfId="19834"/>
    <cellStyle name="Heading 4 5" xfId="19835"/>
    <cellStyle name="Heading 4 6" xfId="19836"/>
    <cellStyle name="Heading 4 7" xfId="19837"/>
    <cellStyle name="Heading 4 8" xfId="19838"/>
    <cellStyle name="Heading 4 9" xfId="19839"/>
    <cellStyle name="Hyperlink" xfId="40103" builtinId="8"/>
    <cellStyle name="Input 10" xfId="19840"/>
    <cellStyle name="Input 10 2" xfId="19841"/>
    <cellStyle name="Input 10 3" xfId="19842"/>
    <cellStyle name="Input 11" xfId="19843"/>
    <cellStyle name="Input 12" xfId="19844"/>
    <cellStyle name="Input 13" xfId="19845"/>
    <cellStyle name="Input 13 2" xfId="19846"/>
    <cellStyle name="Input 13 3" xfId="19847"/>
    <cellStyle name="Input 14" xfId="40300"/>
    <cellStyle name="Input 15" xfId="40301"/>
    <cellStyle name="Input 16" xfId="40302"/>
    <cellStyle name="Input 2" xfId="19848"/>
    <cellStyle name="Input 2 2" xfId="19849"/>
    <cellStyle name="Input 2 3" xfId="19850"/>
    <cellStyle name="Input 2 4" xfId="19851"/>
    <cellStyle name="Input 2 5" xfId="19852"/>
    <cellStyle name="Input 2 6" xfId="19853"/>
    <cellStyle name="Input 3" xfId="19854"/>
    <cellStyle name="Input 4" xfId="19855"/>
    <cellStyle name="Input 5" xfId="19856"/>
    <cellStyle name="Input 6" xfId="19857"/>
    <cellStyle name="Input 7" xfId="19858"/>
    <cellStyle name="Input 7 2" xfId="19859"/>
    <cellStyle name="Input 7 3" xfId="19860"/>
    <cellStyle name="Input 8" xfId="19861"/>
    <cellStyle name="Input 8 2" xfId="19862"/>
    <cellStyle name="Input 8 3" xfId="19863"/>
    <cellStyle name="Input 9" xfId="19864"/>
    <cellStyle name="Labels - Style3" xfId="19865"/>
    <cellStyle name="Linked Cell 10" xfId="19866"/>
    <cellStyle name="Linked Cell 11" xfId="19867"/>
    <cellStyle name="Linked Cell 12" xfId="19868"/>
    <cellStyle name="Linked Cell 13" xfId="19869"/>
    <cellStyle name="Linked Cell 13 2" xfId="19870"/>
    <cellStyle name="Linked Cell 13 3" xfId="19871"/>
    <cellStyle name="Linked Cell 14" xfId="40303"/>
    <cellStyle name="Linked Cell 15" xfId="40304"/>
    <cellStyle name="Linked Cell 2" xfId="19872"/>
    <cellStyle name="Linked Cell 2 2" xfId="19873"/>
    <cellStyle name="Linked Cell 2 3" xfId="19874"/>
    <cellStyle name="Linked Cell 2 4" xfId="19875"/>
    <cellStyle name="Linked Cell 2 5" xfId="19876"/>
    <cellStyle name="Linked Cell 2 6" xfId="19877"/>
    <cellStyle name="Linked Cell 3" xfId="19878"/>
    <cellStyle name="Linked Cell 4" xfId="19879"/>
    <cellStyle name="Linked Cell 5" xfId="19880"/>
    <cellStyle name="Linked Cell 6" xfId="19881"/>
    <cellStyle name="Linked Cell 7" xfId="19882"/>
    <cellStyle name="Linked Cell 8" xfId="19883"/>
    <cellStyle name="Linked Cell 9" xfId="19884"/>
    <cellStyle name="Neutral 10" xfId="19885"/>
    <cellStyle name="Neutral 10 2" xfId="19886"/>
    <cellStyle name="Neutral 10 3" xfId="19887"/>
    <cellStyle name="Neutral 11" xfId="19888"/>
    <cellStyle name="Neutral 12" xfId="19889"/>
    <cellStyle name="Neutral 13" xfId="19890"/>
    <cellStyle name="Neutral 13 2" xfId="19891"/>
    <cellStyle name="Neutral 13 3" xfId="19892"/>
    <cellStyle name="Neutral 14" xfId="40305"/>
    <cellStyle name="Neutral 15" xfId="40306"/>
    <cellStyle name="Neutral 16" xfId="40307"/>
    <cellStyle name="Neutral 2" xfId="19893"/>
    <cellStyle name="Neutral 2 2" xfId="19894"/>
    <cellStyle name="Neutral 2 3" xfId="19895"/>
    <cellStyle name="Neutral 2 4" xfId="19896"/>
    <cellStyle name="Neutral 2 5" xfId="19897"/>
    <cellStyle name="Neutral 2 6" xfId="19898"/>
    <cellStyle name="Neutral 3" xfId="19899"/>
    <cellStyle name="Neutral 4" xfId="19900"/>
    <cellStyle name="Neutral 5" xfId="19901"/>
    <cellStyle name="Neutral 6" xfId="19902"/>
    <cellStyle name="Neutral 7" xfId="19903"/>
    <cellStyle name="Neutral 7 2" xfId="19904"/>
    <cellStyle name="Neutral 7 3" xfId="19905"/>
    <cellStyle name="Neutral 8" xfId="19906"/>
    <cellStyle name="Neutral 8 2" xfId="19907"/>
    <cellStyle name="Neutral 8 3" xfId="19908"/>
    <cellStyle name="Neutral 9" xfId="19909"/>
    <cellStyle name="Normal" xfId="0" builtinId="0"/>
    <cellStyle name="Normal - Style1" xfId="1094"/>
    <cellStyle name="Normal 10" xfId="1095"/>
    <cellStyle name="Normal 10 10" xfId="1096"/>
    <cellStyle name="Normal 10 10 2" xfId="1097"/>
    <cellStyle name="Normal 10 10 2 2" xfId="1098"/>
    <cellStyle name="Normal 10 10 2 2 2" xfId="1099"/>
    <cellStyle name="Normal 10 10 2 2 2 2" xfId="19910"/>
    <cellStyle name="Normal 10 10 2 2 2 2 2" xfId="19911"/>
    <cellStyle name="Normal 10 10 2 2 2 2 3" xfId="19912"/>
    <cellStyle name="Normal 10 10 2 2 2 2 4" xfId="19913"/>
    <cellStyle name="Normal 10 10 2 2 2 2 5" xfId="19914"/>
    <cellStyle name="Normal 10 10 2 2 2 3" xfId="19915"/>
    <cellStyle name="Normal 10 10 2 2 2 4" xfId="19916"/>
    <cellStyle name="Normal 10 10 2 2 2 5" xfId="19917"/>
    <cellStyle name="Normal 10 10 2 2 3" xfId="1100"/>
    <cellStyle name="Normal 10 10 2 2 3 2" xfId="19918"/>
    <cellStyle name="Normal 10 10 2 2 3 2 2" xfId="19919"/>
    <cellStyle name="Normal 10 10 2 2 3 2 3" xfId="19920"/>
    <cellStyle name="Normal 10 10 2 2 3 2 4" xfId="19921"/>
    <cellStyle name="Normal 10 10 2 2 3 3" xfId="19922"/>
    <cellStyle name="Normal 10 10 2 2 3 4" xfId="19923"/>
    <cellStyle name="Normal 10 10 2 2 3 5" xfId="19924"/>
    <cellStyle name="Normal 10 10 2 2 4" xfId="19925"/>
    <cellStyle name="Normal 10 10 2 2 4 2" xfId="19926"/>
    <cellStyle name="Normal 10 10 2 2 4 3" xfId="19927"/>
    <cellStyle name="Normal 10 10 2 2 4 4" xfId="19928"/>
    <cellStyle name="Normal 10 10 2 2 5" xfId="19929"/>
    <cellStyle name="Normal 10 10 2 2 6" xfId="19930"/>
    <cellStyle name="Normal 10 10 2 2 7" xfId="19931"/>
    <cellStyle name="Normal 10 10 2 3" xfId="1101"/>
    <cellStyle name="Normal 10 10 2 3 2" xfId="19932"/>
    <cellStyle name="Normal 10 10 2 3 2 2" xfId="19933"/>
    <cellStyle name="Normal 10 10 2 3 2 3" xfId="19934"/>
    <cellStyle name="Normal 10 10 2 3 2 4" xfId="19935"/>
    <cellStyle name="Normal 10 10 2 3 3" xfId="19936"/>
    <cellStyle name="Normal 10 10 2 3 4" xfId="19937"/>
    <cellStyle name="Normal 10 10 2 3 5" xfId="19938"/>
    <cellStyle name="Normal 10 10 2 4" xfId="1102"/>
    <cellStyle name="Normal 10 10 2 4 2" xfId="19939"/>
    <cellStyle name="Normal 10 10 2 4 2 2" xfId="19940"/>
    <cellStyle name="Normal 10 10 2 4 2 3" xfId="19941"/>
    <cellStyle name="Normal 10 10 2 4 2 4" xfId="19942"/>
    <cellStyle name="Normal 10 10 2 4 3" xfId="19943"/>
    <cellStyle name="Normal 10 10 2 4 4" xfId="19944"/>
    <cellStyle name="Normal 10 10 2 4 5" xfId="19945"/>
    <cellStyle name="Normal 10 10 2 5" xfId="19946"/>
    <cellStyle name="Normal 10 10 2 5 2" xfId="19947"/>
    <cellStyle name="Normal 10 10 2 5 3" xfId="19948"/>
    <cellStyle name="Normal 10 10 2 5 4" xfId="19949"/>
    <cellStyle name="Normal 10 10 2 6" xfId="19950"/>
    <cellStyle name="Normal 10 10 2 7" xfId="19951"/>
    <cellStyle name="Normal 10 10 2 8" xfId="19952"/>
    <cellStyle name="Normal 10 10 3" xfId="1103"/>
    <cellStyle name="Normal 10 10 3 2" xfId="1104"/>
    <cellStyle name="Normal 10 10 3 2 2" xfId="19953"/>
    <cellStyle name="Normal 10 10 3 2 2 2" xfId="19954"/>
    <cellStyle name="Normal 10 10 3 2 2 3" xfId="19955"/>
    <cellStyle name="Normal 10 10 3 2 2 4" xfId="19956"/>
    <cellStyle name="Normal 10 10 3 2 3" xfId="19957"/>
    <cellStyle name="Normal 10 10 3 2 4" xfId="19958"/>
    <cellStyle name="Normal 10 10 3 2 5" xfId="19959"/>
    <cellStyle name="Normal 10 10 3 3" xfId="1105"/>
    <cellStyle name="Normal 10 10 3 3 2" xfId="19960"/>
    <cellStyle name="Normal 10 10 3 3 2 2" xfId="19961"/>
    <cellStyle name="Normal 10 10 3 3 2 3" xfId="19962"/>
    <cellStyle name="Normal 10 10 3 3 2 4" xfId="19963"/>
    <cellStyle name="Normal 10 10 3 3 3" xfId="19964"/>
    <cellStyle name="Normal 10 10 3 3 4" xfId="19965"/>
    <cellStyle name="Normal 10 10 3 3 5" xfId="19966"/>
    <cellStyle name="Normal 10 10 3 4" xfId="19967"/>
    <cellStyle name="Normal 10 10 3 4 2" xfId="19968"/>
    <cellStyle name="Normal 10 10 3 4 3" xfId="19969"/>
    <cellStyle name="Normal 10 10 3 4 4" xfId="19970"/>
    <cellStyle name="Normal 10 10 3 5" xfId="19971"/>
    <cellStyle name="Normal 10 10 3 6" xfId="19972"/>
    <cellStyle name="Normal 10 10 3 7" xfId="19973"/>
    <cellStyle name="Normal 10 10 4" xfId="1106"/>
    <cellStyle name="Normal 10 10 4 2" xfId="19974"/>
    <cellStyle name="Normal 10 10 4 2 2" xfId="19975"/>
    <cellStyle name="Normal 10 10 4 2 3" xfId="19976"/>
    <cellStyle name="Normal 10 10 4 2 4" xfId="19977"/>
    <cellStyle name="Normal 10 10 4 3" xfId="19978"/>
    <cellStyle name="Normal 10 10 4 4" xfId="19979"/>
    <cellStyle name="Normal 10 10 4 5" xfId="19980"/>
    <cellStyle name="Normal 10 10 5" xfId="1107"/>
    <cellStyle name="Normal 10 10 5 2" xfId="19981"/>
    <cellStyle name="Normal 10 10 5 2 2" xfId="19982"/>
    <cellStyle name="Normal 10 10 5 2 3" xfId="19983"/>
    <cellStyle name="Normal 10 10 5 2 4" xfId="19984"/>
    <cellStyle name="Normal 10 10 5 3" xfId="19985"/>
    <cellStyle name="Normal 10 10 5 4" xfId="19986"/>
    <cellStyle name="Normal 10 10 5 5" xfId="19987"/>
    <cellStyle name="Normal 10 10 6" xfId="19988"/>
    <cellStyle name="Normal 10 10 6 2" xfId="19989"/>
    <cellStyle name="Normal 10 10 6 3" xfId="19990"/>
    <cellStyle name="Normal 10 10 6 4" xfId="19991"/>
    <cellStyle name="Normal 10 10 7" xfId="19992"/>
    <cellStyle name="Normal 10 10 8" xfId="19993"/>
    <cellStyle name="Normal 10 10 9" xfId="19994"/>
    <cellStyle name="Normal 10 11" xfId="1108"/>
    <cellStyle name="Normal 10 11 2" xfId="1109"/>
    <cellStyle name="Normal 10 11 2 2" xfId="1110"/>
    <cellStyle name="Normal 10 11 2 2 2" xfId="1111"/>
    <cellStyle name="Normal 10 11 2 2 2 2" xfId="19995"/>
    <cellStyle name="Normal 10 11 2 2 2 2 2" xfId="19996"/>
    <cellStyle name="Normal 10 11 2 2 2 2 3" xfId="19997"/>
    <cellStyle name="Normal 10 11 2 2 2 2 4" xfId="19998"/>
    <cellStyle name="Normal 10 11 2 2 2 3" xfId="19999"/>
    <cellStyle name="Normal 10 11 2 2 2 4" xfId="20000"/>
    <cellStyle name="Normal 10 11 2 2 2 5" xfId="20001"/>
    <cellStyle name="Normal 10 11 2 2 3" xfId="1112"/>
    <cellStyle name="Normal 10 11 2 2 3 2" xfId="20002"/>
    <cellStyle name="Normal 10 11 2 2 3 2 2" xfId="20003"/>
    <cellStyle name="Normal 10 11 2 2 3 2 3" xfId="20004"/>
    <cellStyle name="Normal 10 11 2 2 3 2 4" xfId="20005"/>
    <cellStyle name="Normal 10 11 2 2 3 3" xfId="20006"/>
    <cellStyle name="Normal 10 11 2 2 3 4" xfId="20007"/>
    <cellStyle name="Normal 10 11 2 2 3 5" xfId="20008"/>
    <cellStyle name="Normal 10 11 2 2 4" xfId="20009"/>
    <cellStyle name="Normal 10 11 2 2 4 2" xfId="20010"/>
    <cellStyle name="Normal 10 11 2 2 4 3" xfId="20011"/>
    <cellStyle name="Normal 10 11 2 2 4 4" xfId="20012"/>
    <cellStyle name="Normal 10 11 2 2 5" xfId="20013"/>
    <cellStyle name="Normal 10 11 2 2 6" xfId="20014"/>
    <cellStyle name="Normal 10 11 2 2 7" xfId="20015"/>
    <cellStyle name="Normal 10 11 2 3" xfId="1113"/>
    <cellStyle name="Normal 10 11 2 3 2" xfId="20016"/>
    <cellStyle name="Normal 10 11 2 3 2 2" xfId="20017"/>
    <cellStyle name="Normal 10 11 2 3 2 3" xfId="20018"/>
    <cellStyle name="Normal 10 11 2 3 2 4" xfId="20019"/>
    <cellStyle name="Normal 10 11 2 3 3" xfId="20020"/>
    <cellStyle name="Normal 10 11 2 3 4" xfId="20021"/>
    <cellStyle name="Normal 10 11 2 3 5" xfId="20022"/>
    <cellStyle name="Normal 10 11 2 4" xfId="1114"/>
    <cellStyle name="Normal 10 11 2 4 2" xfId="20023"/>
    <cellStyle name="Normal 10 11 2 4 2 2" xfId="20024"/>
    <cellStyle name="Normal 10 11 2 4 2 3" xfId="20025"/>
    <cellStyle name="Normal 10 11 2 4 2 4" xfId="20026"/>
    <cellStyle name="Normal 10 11 2 4 3" xfId="20027"/>
    <cellStyle name="Normal 10 11 2 4 4" xfId="20028"/>
    <cellStyle name="Normal 10 11 2 4 5" xfId="20029"/>
    <cellStyle name="Normal 10 11 2 5" xfId="20030"/>
    <cellStyle name="Normal 10 11 2 5 2" xfId="20031"/>
    <cellStyle name="Normal 10 11 2 5 3" xfId="20032"/>
    <cellStyle name="Normal 10 11 2 5 4" xfId="20033"/>
    <cellStyle name="Normal 10 11 2 6" xfId="20034"/>
    <cellStyle name="Normal 10 11 2 7" xfId="20035"/>
    <cellStyle name="Normal 10 11 2 8" xfId="20036"/>
    <cellStyle name="Normal 10 11 3" xfId="1115"/>
    <cellStyle name="Normal 10 11 3 2" xfId="1116"/>
    <cellStyle name="Normal 10 11 3 2 2" xfId="20037"/>
    <cellStyle name="Normal 10 11 3 2 2 2" xfId="20038"/>
    <cellStyle name="Normal 10 11 3 2 2 3" xfId="20039"/>
    <cellStyle name="Normal 10 11 3 2 2 4" xfId="20040"/>
    <cellStyle name="Normal 10 11 3 2 3" xfId="20041"/>
    <cellStyle name="Normal 10 11 3 2 4" xfId="20042"/>
    <cellStyle name="Normal 10 11 3 2 5" xfId="20043"/>
    <cellStyle name="Normal 10 11 3 3" xfId="1117"/>
    <cellStyle name="Normal 10 11 3 3 2" xfId="20044"/>
    <cellStyle name="Normal 10 11 3 3 2 2" xfId="20045"/>
    <cellStyle name="Normal 10 11 3 3 2 3" xfId="20046"/>
    <cellStyle name="Normal 10 11 3 3 2 4" xfId="20047"/>
    <cellStyle name="Normal 10 11 3 3 3" xfId="20048"/>
    <cellStyle name="Normal 10 11 3 3 4" xfId="20049"/>
    <cellStyle name="Normal 10 11 3 3 5" xfId="20050"/>
    <cellStyle name="Normal 10 11 3 4" xfId="20051"/>
    <cellStyle name="Normal 10 11 3 4 2" xfId="20052"/>
    <cellStyle name="Normal 10 11 3 4 3" xfId="20053"/>
    <cellStyle name="Normal 10 11 3 4 4" xfId="20054"/>
    <cellStyle name="Normal 10 11 3 5" xfId="20055"/>
    <cellStyle name="Normal 10 11 3 6" xfId="20056"/>
    <cellStyle name="Normal 10 11 3 7" xfId="20057"/>
    <cellStyle name="Normal 10 11 4" xfId="1118"/>
    <cellStyle name="Normal 10 11 4 2" xfId="20058"/>
    <cellStyle name="Normal 10 11 4 2 2" xfId="20059"/>
    <cellStyle name="Normal 10 11 4 2 3" xfId="20060"/>
    <cellStyle name="Normal 10 11 4 2 4" xfId="20061"/>
    <cellStyle name="Normal 10 11 4 3" xfId="20062"/>
    <cellStyle name="Normal 10 11 4 4" xfId="20063"/>
    <cellStyle name="Normal 10 11 4 5" xfId="20064"/>
    <cellStyle name="Normal 10 11 5" xfId="1119"/>
    <cellStyle name="Normal 10 11 5 2" xfId="20065"/>
    <cellStyle name="Normal 10 11 5 2 2" xfId="20066"/>
    <cellStyle name="Normal 10 11 5 2 3" xfId="20067"/>
    <cellStyle name="Normal 10 11 5 2 4" xfId="20068"/>
    <cellStyle name="Normal 10 11 5 3" xfId="20069"/>
    <cellStyle name="Normal 10 11 5 4" xfId="20070"/>
    <cellStyle name="Normal 10 11 5 5" xfId="20071"/>
    <cellStyle name="Normal 10 11 6" xfId="20072"/>
    <cellStyle name="Normal 10 11 6 2" xfId="20073"/>
    <cellStyle name="Normal 10 11 6 3" xfId="20074"/>
    <cellStyle name="Normal 10 11 6 4" xfId="20075"/>
    <cellStyle name="Normal 10 11 7" xfId="20076"/>
    <cellStyle name="Normal 10 11 8" xfId="20077"/>
    <cellStyle name="Normal 10 11 9" xfId="20078"/>
    <cellStyle name="Normal 10 12" xfId="1120"/>
    <cellStyle name="Normal 10 12 2" xfId="1121"/>
    <cellStyle name="Normal 10 12 2 2" xfId="1122"/>
    <cellStyle name="Normal 10 12 2 2 2" xfId="1123"/>
    <cellStyle name="Normal 10 12 2 2 2 2" xfId="20079"/>
    <cellStyle name="Normal 10 12 2 2 2 2 2" xfId="20080"/>
    <cellStyle name="Normal 10 12 2 2 2 2 3" xfId="20081"/>
    <cellStyle name="Normal 10 12 2 2 2 2 4" xfId="20082"/>
    <cellStyle name="Normal 10 12 2 2 2 3" xfId="20083"/>
    <cellStyle name="Normal 10 12 2 2 2 4" xfId="20084"/>
    <cellStyle name="Normal 10 12 2 2 2 5" xfId="20085"/>
    <cellStyle name="Normal 10 12 2 2 3" xfId="1124"/>
    <cellStyle name="Normal 10 12 2 2 3 2" xfId="20086"/>
    <cellStyle name="Normal 10 12 2 2 3 2 2" xfId="20087"/>
    <cellStyle name="Normal 10 12 2 2 3 2 3" xfId="20088"/>
    <cellStyle name="Normal 10 12 2 2 3 2 4" xfId="20089"/>
    <cellStyle name="Normal 10 12 2 2 3 3" xfId="20090"/>
    <cellStyle name="Normal 10 12 2 2 3 4" xfId="20091"/>
    <cellStyle name="Normal 10 12 2 2 3 5" xfId="20092"/>
    <cellStyle name="Normal 10 12 2 2 4" xfId="20093"/>
    <cellStyle name="Normal 10 12 2 2 4 2" xfId="20094"/>
    <cellStyle name="Normal 10 12 2 2 4 3" xfId="20095"/>
    <cellStyle name="Normal 10 12 2 2 4 4" xfId="20096"/>
    <cellStyle name="Normal 10 12 2 2 5" xfId="20097"/>
    <cellStyle name="Normal 10 12 2 2 6" xfId="20098"/>
    <cellStyle name="Normal 10 12 2 2 7" xfId="20099"/>
    <cellStyle name="Normal 10 12 2 3" xfId="1125"/>
    <cellStyle name="Normal 10 12 2 3 2" xfId="20100"/>
    <cellStyle name="Normal 10 12 2 3 2 2" xfId="20101"/>
    <cellStyle name="Normal 10 12 2 3 2 3" xfId="20102"/>
    <cellStyle name="Normal 10 12 2 3 2 4" xfId="20103"/>
    <cellStyle name="Normal 10 12 2 3 3" xfId="20104"/>
    <cellStyle name="Normal 10 12 2 3 4" xfId="20105"/>
    <cellStyle name="Normal 10 12 2 3 5" xfId="20106"/>
    <cellStyle name="Normal 10 12 2 4" xfId="1126"/>
    <cellStyle name="Normal 10 12 2 4 2" xfId="20107"/>
    <cellStyle name="Normal 10 12 2 4 2 2" xfId="20108"/>
    <cellStyle name="Normal 10 12 2 4 2 3" xfId="20109"/>
    <cellStyle name="Normal 10 12 2 4 2 4" xfId="20110"/>
    <cellStyle name="Normal 10 12 2 4 3" xfId="20111"/>
    <cellStyle name="Normal 10 12 2 4 4" xfId="20112"/>
    <cellStyle name="Normal 10 12 2 4 5" xfId="20113"/>
    <cellStyle name="Normal 10 12 2 5" xfId="20114"/>
    <cellStyle name="Normal 10 12 2 5 2" xfId="20115"/>
    <cellStyle name="Normal 10 12 2 5 3" xfId="20116"/>
    <cellStyle name="Normal 10 12 2 5 4" xfId="20117"/>
    <cellStyle name="Normal 10 12 2 6" xfId="20118"/>
    <cellStyle name="Normal 10 12 2 7" xfId="20119"/>
    <cellStyle name="Normal 10 12 2 8" xfId="20120"/>
    <cellStyle name="Normal 10 12 3" xfId="1127"/>
    <cellStyle name="Normal 10 12 3 2" xfId="1128"/>
    <cellStyle name="Normal 10 12 3 2 2" xfId="20121"/>
    <cellStyle name="Normal 10 12 3 2 2 2" xfId="20122"/>
    <cellStyle name="Normal 10 12 3 2 2 3" xfId="20123"/>
    <cellStyle name="Normal 10 12 3 2 2 4" xfId="20124"/>
    <cellStyle name="Normal 10 12 3 2 3" xfId="20125"/>
    <cellStyle name="Normal 10 12 3 2 4" xfId="20126"/>
    <cellStyle name="Normal 10 12 3 2 5" xfId="20127"/>
    <cellStyle name="Normal 10 12 3 3" xfId="1129"/>
    <cellStyle name="Normal 10 12 3 3 2" xfId="20128"/>
    <cellStyle name="Normal 10 12 3 3 2 2" xfId="20129"/>
    <cellStyle name="Normal 10 12 3 3 2 3" xfId="20130"/>
    <cellStyle name="Normal 10 12 3 3 2 4" xfId="20131"/>
    <cellStyle name="Normal 10 12 3 3 3" xfId="20132"/>
    <cellStyle name="Normal 10 12 3 3 4" xfId="20133"/>
    <cellStyle name="Normal 10 12 3 3 5" xfId="20134"/>
    <cellStyle name="Normal 10 12 3 4" xfId="20135"/>
    <cellStyle name="Normal 10 12 3 4 2" xfId="20136"/>
    <cellStyle name="Normal 10 12 3 4 3" xfId="20137"/>
    <cellStyle name="Normal 10 12 3 4 4" xfId="20138"/>
    <cellStyle name="Normal 10 12 3 5" xfId="20139"/>
    <cellStyle name="Normal 10 12 3 6" xfId="20140"/>
    <cellStyle name="Normal 10 12 3 7" xfId="20141"/>
    <cellStyle name="Normal 10 12 4" xfId="1130"/>
    <cellStyle name="Normal 10 12 4 2" xfId="20142"/>
    <cellStyle name="Normal 10 12 4 2 2" xfId="20143"/>
    <cellStyle name="Normal 10 12 4 2 3" xfId="20144"/>
    <cellStyle name="Normal 10 12 4 2 4" xfId="20145"/>
    <cellStyle name="Normal 10 12 4 3" xfId="20146"/>
    <cellStyle name="Normal 10 12 4 4" xfId="20147"/>
    <cellStyle name="Normal 10 12 4 5" xfId="20148"/>
    <cellStyle name="Normal 10 12 5" xfId="1131"/>
    <cellStyle name="Normal 10 12 5 2" xfId="20149"/>
    <cellStyle name="Normal 10 12 5 2 2" xfId="20150"/>
    <cellStyle name="Normal 10 12 5 2 3" xfId="20151"/>
    <cellStyle name="Normal 10 12 5 2 4" xfId="20152"/>
    <cellStyle name="Normal 10 12 5 3" xfId="20153"/>
    <cellStyle name="Normal 10 12 5 4" xfId="20154"/>
    <cellStyle name="Normal 10 12 5 5" xfId="20155"/>
    <cellStyle name="Normal 10 12 6" xfId="20156"/>
    <cellStyle name="Normal 10 12 6 2" xfId="20157"/>
    <cellStyle name="Normal 10 12 6 3" xfId="20158"/>
    <cellStyle name="Normal 10 12 6 4" xfId="20159"/>
    <cellStyle name="Normal 10 12 7" xfId="20160"/>
    <cellStyle name="Normal 10 12 8" xfId="20161"/>
    <cellStyle name="Normal 10 12 9" xfId="20162"/>
    <cellStyle name="Normal 10 13" xfId="1132"/>
    <cellStyle name="Normal 10 13 2" xfId="1133"/>
    <cellStyle name="Normal 10 13 2 2" xfId="1134"/>
    <cellStyle name="Normal 10 13 2 2 2" xfId="1135"/>
    <cellStyle name="Normal 10 13 2 2 2 2" xfId="20163"/>
    <cellStyle name="Normal 10 13 2 2 2 2 2" xfId="20164"/>
    <cellStyle name="Normal 10 13 2 2 2 2 3" xfId="20165"/>
    <cellStyle name="Normal 10 13 2 2 2 2 4" xfId="20166"/>
    <cellStyle name="Normal 10 13 2 2 2 3" xfId="20167"/>
    <cellStyle name="Normal 10 13 2 2 2 4" xfId="20168"/>
    <cellStyle name="Normal 10 13 2 2 2 5" xfId="20169"/>
    <cellStyle name="Normal 10 13 2 2 3" xfId="1136"/>
    <cellStyle name="Normal 10 13 2 2 3 2" xfId="20170"/>
    <cellStyle name="Normal 10 13 2 2 3 2 2" xfId="20171"/>
    <cellStyle name="Normal 10 13 2 2 3 2 3" xfId="20172"/>
    <cellStyle name="Normal 10 13 2 2 3 2 4" xfId="20173"/>
    <cellStyle name="Normal 10 13 2 2 3 3" xfId="20174"/>
    <cellStyle name="Normal 10 13 2 2 3 4" xfId="20175"/>
    <cellStyle name="Normal 10 13 2 2 3 5" xfId="20176"/>
    <cellStyle name="Normal 10 13 2 2 4" xfId="20177"/>
    <cellStyle name="Normal 10 13 2 2 4 2" xfId="20178"/>
    <cellStyle name="Normal 10 13 2 2 4 3" xfId="20179"/>
    <cellStyle name="Normal 10 13 2 2 4 4" xfId="20180"/>
    <cellStyle name="Normal 10 13 2 2 5" xfId="20181"/>
    <cellStyle name="Normal 10 13 2 2 6" xfId="20182"/>
    <cellStyle name="Normal 10 13 2 2 7" xfId="20183"/>
    <cellStyle name="Normal 10 13 2 3" xfId="1137"/>
    <cellStyle name="Normal 10 13 2 3 2" xfId="20184"/>
    <cellStyle name="Normal 10 13 2 3 2 2" xfId="20185"/>
    <cellStyle name="Normal 10 13 2 3 2 3" xfId="20186"/>
    <cellStyle name="Normal 10 13 2 3 2 4" xfId="20187"/>
    <cellStyle name="Normal 10 13 2 3 3" xfId="20188"/>
    <cellStyle name="Normal 10 13 2 3 4" xfId="20189"/>
    <cellStyle name="Normal 10 13 2 3 5" xfId="20190"/>
    <cellStyle name="Normal 10 13 2 4" xfId="1138"/>
    <cellStyle name="Normal 10 13 2 4 2" xfId="20191"/>
    <cellStyle name="Normal 10 13 2 4 2 2" xfId="20192"/>
    <cellStyle name="Normal 10 13 2 4 2 3" xfId="20193"/>
    <cellStyle name="Normal 10 13 2 4 2 4" xfId="20194"/>
    <cellStyle name="Normal 10 13 2 4 3" xfId="20195"/>
    <cellStyle name="Normal 10 13 2 4 4" xfId="20196"/>
    <cellStyle name="Normal 10 13 2 4 5" xfId="20197"/>
    <cellStyle name="Normal 10 13 2 5" xfId="20198"/>
    <cellStyle name="Normal 10 13 2 5 2" xfId="20199"/>
    <cellStyle name="Normal 10 13 2 5 3" xfId="20200"/>
    <cellStyle name="Normal 10 13 2 5 4" xfId="20201"/>
    <cellStyle name="Normal 10 13 2 6" xfId="20202"/>
    <cellStyle name="Normal 10 13 2 7" xfId="20203"/>
    <cellStyle name="Normal 10 13 2 8" xfId="20204"/>
    <cellStyle name="Normal 10 13 3" xfId="1139"/>
    <cellStyle name="Normal 10 13 3 2" xfId="1140"/>
    <cellStyle name="Normal 10 13 3 2 2" xfId="20205"/>
    <cellStyle name="Normal 10 13 3 2 2 2" xfId="20206"/>
    <cellStyle name="Normal 10 13 3 2 2 3" xfId="20207"/>
    <cellStyle name="Normal 10 13 3 2 2 4" xfId="20208"/>
    <cellStyle name="Normal 10 13 3 2 3" xfId="20209"/>
    <cellStyle name="Normal 10 13 3 2 4" xfId="20210"/>
    <cellStyle name="Normal 10 13 3 2 5" xfId="20211"/>
    <cellStyle name="Normal 10 13 3 3" xfId="1141"/>
    <cellStyle name="Normal 10 13 3 3 2" xfId="20212"/>
    <cellStyle name="Normal 10 13 3 3 2 2" xfId="20213"/>
    <cellStyle name="Normal 10 13 3 3 2 3" xfId="20214"/>
    <cellStyle name="Normal 10 13 3 3 2 4" xfId="20215"/>
    <cellStyle name="Normal 10 13 3 3 3" xfId="20216"/>
    <cellStyle name="Normal 10 13 3 3 4" xfId="20217"/>
    <cellStyle name="Normal 10 13 3 3 5" xfId="20218"/>
    <cellStyle name="Normal 10 13 3 4" xfId="20219"/>
    <cellStyle name="Normal 10 13 3 4 2" xfId="20220"/>
    <cellStyle name="Normal 10 13 3 4 3" xfId="20221"/>
    <cellStyle name="Normal 10 13 3 4 4" xfId="20222"/>
    <cellStyle name="Normal 10 13 3 5" xfId="20223"/>
    <cellStyle name="Normal 10 13 3 6" xfId="20224"/>
    <cellStyle name="Normal 10 13 3 7" xfId="20225"/>
    <cellStyle name="Normal 10 13 4" xfId="1142"/>
    <cellStyle name="Normal 10 13 4 2" xfId="20226"/>
    <cellStyle name="Normal 10 13 4 2 2" xfId="20227"/>
    <cellStyle name="Normal 10 13 4 2 3" xfId="20228"/>
    <cellStyle name="Normal 10 13 4 2 4" xfId="20229"/>
    <cellStyle name="Normal 10 13 4 3" xfId="20230"/>
    <cellStyle name="Normal 10 13 4 4" xfId="20231"/>
    <cellStyle name="Normal 10 13 4 5" xfId="20232"/>
    <cellStyle name="Normal 10 13 5" xfId="1143"/>
    <cellStyle name="Normal 10 13 5 2" xfId="20233"/>
    <cellStyle name="Normal 10 13 5 2 2" xfId="20234"/>
    <cellStyle name="Normal 10 13 5 2 3" xfId="20235"/>
    <cellStyle name="Normal 10 13 5 2 4" xfId="20236"/>
    <cellStyle name="Normal 10 13 5 3" xfId="20237"/>
    <cellStyle name="Normal 10 13 5 4" xfId="20238"/>
    <cellStyle name="Normal 10 13 5 5" xfId="20239"/>
    <cellStyle name="Normal 10 13 6" xfId="20240"/>
    <cellStyle name="Normal 10 13 6 2" xfId="20241"/>
    <cellStyle name="Normal 10 13 6 3" xfId="20242"/>
    <cellStyle name="Normal 10 13 6 4" xfId="20243"/>
    <cellStyle name="Normal 10 13 7" xfId="20244"/>
    <cellStyle name="Normal 10 13 8" xfId="20245"/>
    <cellStyle name="Normal 10 13 9" xfId="20246"/>
    <cellStyle name="Normal 10 14" xfId="1144"/>
    <cellStyle name="Normal 10 14 2" xfId="1145"/>
    <cellStyle name="Normal 10 14 2 2" xfId="1146"/>
    <cellStyle name="Normal 10 14 2 2 2" xfId="1147"/>
    <cellStyle name="Normal 10 14 2 2 2 2" xfId="20247"/>
    <cellStyle name="Normal 10 14 2 2 2 2 2" xfId="20248"/>
    <cellStyle name="Normal 10 14 2 2 2 2 3" xfId="20249"/>
    <cellStyle name="Normal 10 14 2 2 2 2 4" xfId="20250"/>
    <cellStyle name="Normal 10 14 2 2 2 3" xfId="20251"/>
    <cellStyle name="Normal 10 14 2 2 2 4" xfId="20252"/>
    <cellStyle name="Normal 10 14 2 2 2 5" xfId="20253"/>
    <cellStyle name="Normal 10 14 2 2 3" xfId="1148"/>
    <cellStyle name="Normal 10 14 2 2 3 2" xfId="20254"/>
    <cellStyle name="Normal 10 14 2 2 3 2 2" xfId="20255"/>
    <cellStyle name="Normal 10 14 2 2 3 2 3" xfId="20256"/>
    <cellStyle name="Normal 10 14 2 2 3 2 4" xfId="20257"/>
    <cellStyle name="Normal 10 14 2 2 3 3" xfId="20258"/>
    <cellStyle name="Normal 10 14 2 2 3 4" xfId="20259"/>
    <cellStyle name="Normal 10 14 2 2 3 5" xfId="20260"/>
    <cellStyle name="Normal 10 14 2 2 4" xfId="20261"/>
    <cellStyle name="Normal 10 14 2 2 4 2" xfId="20262"/>
    <cellStyle name="Normal 10 14 2 2 4 3" xfId="20263"/>
    <cellStyle name="Normal 10 14 2 2 4 4" xfId="20264"/>
    <cellStyle name="Normal 10 14 2 2 5" xfId="20265"/>
    <cellStyle name="Normal 10 14 2 2 6" xfId="20266"/>
    <cellStyle name="Normal 10 14 2 2 7" xfId="20267"/>
    <cellStyle name="Normal 10 14 2 3" xfId="1149"/>
    <cellStyle name="Normal 10 14 2 3 2" xfId="20268"/>
    <cellStyle name="Normal 10 14 2 3 2 2" xfId="20269"/>
    <cellStyle name="Normal 10 14 2 3 2 3" xfId="20270"/>
    <cellStyle name="Normal 10 14 2 3 2 4" xfId="20271"/>
    <cellStyle name="Normal 10 14 2 3 3" xfId="20272"/>
    <cellStyle name="Normal 10 14 2 3 4" xfId="20273"/>
    <cellStyle name="Normal 10 14 2 3 5" xfId="20274"/>
    <cellStyle name="Normal 10 14 2 4" xfId="1150"/>
    <cellStyle name="Normal 10 14 2 4 2" xfId="20275"/>
    <cellStyle name="Normal 10 14 2 4 2 2" xfId="20276"/>
    <cellStyle name="Normal 10 14 2 4 2 3" xfId="20277"/>
    <cellStyle name="Normal 10 14 2 4 2 4" xfId="20278"/>
    <cellStyle name="Normal 10 14 2 4 3" xfId="20279"/>
    <cellStyle name="Normal 10 14 2 4 4" xfId="20280"/>
    <cellStyle name="Normal 10 14 2 4 5" xfId="20281"/>
    <cellStyle name="Normal 10 14 2 5" xfId="20282"/>
    <cellStyle name="Normal 10 14 2 5 2" xfId="20283"/>
    <cellStyle name="Normal 10 14 2 5 3" xfId="20284"/>
    <cellStyle name="Normal 10 14 2 5 4" xfId="20285"/>
    <cellStyle name="Normal 10 14 2 6" xfId="20286"/>
    <cellStyle name="Normal 10 14 2 7" xfId="20287"/>
    <cellStyle name="Normal 10 14 2 8" xfId="20288"/>
    <cellStyle name="Normal 10 14 3" xfId="1151"/>
    <cellStyle name="Normal 10 14 3 2" xfId="1152"/>
    <cellStyle name="Normal 10 14 3 2 2" xfId="20289"/>
    <cellStyle name="Normal 10 14 3 2 2 2" xfId="20290"/>
    <cellStyle name="Normal 10 14 3 2 2 3" xfId="20291"/>
    <cellStyle name="Normal 10 14 3 2 2 4" xfId="20292"/>
    <cellStyle name="Normal 10 14 3 2 3" xfId="20293"/>
    <cellStyle name="Normal 10 14 3 2 4" xfId="20294"/>
    <cellStyle name="Normal 10 14 3 2 5" xfId="20295"/>
    <cellStyle name="Normal 10 14 3 3" xfId="1153"/>
    <cellStyle name="Normal 10 14 3 3 2" xfId="20296"/>
    <cellStyle name="Normal 10 14 3 3 2 2" xfId="20297"/>
    <cellStyle name="Normal 10 14 3 3 2 3" xfId="20298"/>
    <cellStyle name="Normal 10 14 3 3 2 4" xfId="20299"/>
    <cellStyle name="Normal 10 14 3 3 3" xfId="20300"/>
    <cellStyle name="Normal 10 14 3 3 4" xfId="20301"/>
    <cellStyle name="Normal 10 14 3 3 5" xfId="20302"/>
    <cellStyle name="Normal 10 14 3 4" xfId="20303"/>
    <cellStyle name="Normal 10 14 3 4 2" xfId="20304"/>
    <cellStyle name="Normal 10 14 3 4 3" xfId="20305"/>
    <cellStyle name="Normal 10 14 3 4 4" xfId="20306"/>
    <cellStyle name="Normal 10 14 3 5" xfId="20307"/>
    <cellStyle name="Normal 10 14 3 6" xfId="20308"/>
    <cellStyle name="Normal 10 14 3 7" xfId="20309"/>
    <cellStyle name="Normal 10 14 4" xfId="1154"/>
    <cellStyle name="Normal 10 14 4 2" xfId="20310"/>
    <cellStyle name="Normal 10 14 4 2 2" xfId="20311"/>
    <cellStyle name="Normal 10 14 4 2 3" xfId="20312"/>
    <cellStyle name="Normal 10 14 4 2 4" xfId="20313"/>
    <cellStyle name="Normal 10 14 4 3" xfId="20314"/>
    <cellStyle name="Normal 10 14 4 4" xfId="20315"/>
    <cellStyle name="Normal 10 14 4 5" xfId="20316"/>
    <cellStyle name="Normal 10 14 5" xfId="1155"/>
    <cellStyle name="Normal 10 14 5 2" xfId="20317"/>
    <cellStyle name="Normal 10 14 5 2 2" xfId="20318"/>
    <cellStyle name="Normal 10 14 5 2 3" xfId="20319"/>
    <cellStyle name="Normal 10 14 5 2 4" xfId="20320"/>
    <cellStyle name="Normal 10 14 5 3" xfId="20321"/>
    <cellStyle name="Normal 10 14 5 4" xfId="20322"/>
    <cellStyle name="Normal 10 14 5 5" xfId="20323"/>
    <cellStyle name="Normal 10 14 6" xfId="20324"/>
    <cellStyle name="Normal 10 14 6 2" xfId="20325"/>
    <cellStyle name="Normal 10 14 6 3" xfId="20326"/>
    <cellStyle name="Normal 10 14 6 4" xfId="20327"/>
    <cellStyle name="Normal 10 14 7" xfId="20328"/>
    <cellStyle name="Normal 10 14 8" xfId="20329"/>
    <cellStyle name="Normal 10 14 9" xfId="20330"/>
    <cellStyle name="Normal 10 15" xfId="1156"/>
    <cellStyle name="Normal 10 15 2" xfId="1157"/>
    <cellStyle name="Normal 10 15 2 2" xfId="1158"/>
    <cellStyle name="Normal 10 15 2 2 2" xfId="1159"/>
    <cellStyle name="Normal 10 15 2 2 2 2" xfId="20331"/>
    <cellStyle name="Normal 10 15 2 2 2 2 2" xfId="20332"/>
    <cellStyle name="Normal 10 15 2 2 2 2 3" xfId="20333"/>
    <cellStyle name="Normal 10 15 2 2 2 2 4" xfId="20334"/>
    <cellStyle name="Normal 10 15 2 2 2 3" xfId="20335"/>
    <cellStyle name="Normal 10 15 2 2 2 4" xfId="20336"/>
    <cellStyle name="Normal 10 15 2 2 2 5" xfId="20337"/>
    <cellStyle name="Normal 10 15 2 2 3" xfId="1160"/>
    <cellStyle name="Normal 10 15 2 2 3 2" xfId="20338"/>
    <cellStyle name="Normal 10 15 2 2 3 2 2" xfId="20339"/>
    <cellStyle name="Normal 10 15 2 2 3 2 3" xfId="20340"/>
    <cellStyle name="Normal 10 15 2 2 3 2 4" xfId="20341"/>
    <cellStyle name="Normal 10 15 2 2 3 3" xfId="20342"/>
    <cellStyle name="Normal 10 15 2 2 3 4" xfId="20343"/>
    <cellStyle name="Normal 10 15 2 2 3 5" xfId="20344"/>
    <cellStyle name="Normal 10 15 2 2 4" xfId="20345"/>
    <cellStyle name="Normal 10 15 2 2 4 2" xfId="20346"/>
    <cellStyle name="Normal 10 15 2 2 4 3" xfId="20347"/>
    <cellStyle name="Normal 10 15 2 2 4 4" xfId="20348"/>
    <cellStyle name="Normal 10 15 2 2 5" xfId="20349"/>
    <cellStyle name="Normal 10 15 2 2 6" xfId="20350"/>
    <cellStyle name="Normal 10 15 2 2 7" xfId="20351"/>
    <cellStyle name="Normal 10 15 2 3" xfId="1161"/>
    <cellStyle name="Normal 10 15 2 3 2" xfId="20352"/>
    <cellStyle name="Normal 10 15 2 3 2 2" xfId="20353"/>
    <cellStyle name="Normal 10 15 2 3 2 3" xfId="20354"/>
    <cellStyle name="Normal 10 15 2 3 2 4" xfId="20355"/>
    <cellStyle name="Normal 10 15 2 3 3" xfId="20356"/>
    <cellStyle name="Normal 10 15 2 3 4" xfId="20357"/>
    <cellStyle name="Normal 10 15 2 3 5" xfId="20358"/>
    <cellStyle name="Normal 10 15 2 4" xfId="1162"/>
    <cellStyle name="Normal 10 15 2 4 2" xfId="20359"/>
    <cellStyle name="Normal 10 15 2 4 2 2" xfId="20360"/>
    <cellStyle name="Normal 10 15 2 4 2 3" xfId="20361"/>
    <cellStyle name="Normal 10 15 2 4 2 4" xfId="20362"/>
    <cellStyle name="Normal 10 15 2 4 3" xfId="20363"/>
    <cellStyle name="Normal 10 15 2 4 4" xfId="20364"/>
    <cellStyle name="Normal 10 15 2 4 5" xfId="20365"/>
    <cellStyle name="Normal 10 15 2 5" xfId="20366"/>
    <cellStyle name="Normal 10 15 2 5 2" xfId="20367"/>
    <cellStyle name="Normal 10 15 2 5 3" xfId="20368"/>
    <cellStyle name="Normal 10 15 2 5 4" xfId="20369"/>
    <cellStyle name="Normal 10 15 2 6" xfId="20370"/>
    <cellStyle name="Normal 10 15 2 7" xfId="20371"/>
    <cellStyle name="Normal 10 15 2 8" xfId="20372"/>
    <cellStyle name="Normal 10 15 3" xfId="1163"/>
    <cellStyle name="Normal 10 15 3 2" xfId="1164"/>
    <cellStyle name="Normal 10 15 3 2 2" xfId="20373"/>
    <cellStyle name="Normal 10 15 3 2 2 2" xfId="20374"/>
    <cellStyle name="Normal 10 15 3 2 2 3" xfId="20375"/>
    <cellStyle name="Normal 10 15 3 2 2 4" xfId="20376"/>
    <cellStyle name="Normal 10 15 3 2 3" xfId="20377"/>
    <cellStyle name="Normal 10 15 3 2 4" xfId="20378"/>
    <cellStyle name="Normal 10 15 3 2 5" xfId="20379"/>
    <cellStyle name="Normal 10 15 3 3" xfId="1165"/>
    <cellStyle name="Normal 10 15 3 3 2" xfId="20380"/>
    <cellStyle name="Normal 10 15 3 3 2 2" xfId="20381"/>
    <cellStyle name="Normal 10 15 3 3 2 3" xfId="20382"/>
    <cellStyle name="Normal 10 15 3 3 2 4" xfId="20383"/>
    <cellStyle name="Normal 10 15 3 3 3" xfId="20384"/>
    <cellStyle name="Normal 10 15 3 3 4" xfId="20385"/>
    <cellStyle name="Normal 10 15 3 3 5" xfId="20386"/>
    <cellStyle name="Normal 10 15 3 4" xfId="20387"/>
    <cellStyle name="Normal 10 15 3 4 2" xfId="20388"/>
    <cellStyle name="Normal 10 15 3 4 3" xfId="20389"/>
    <cellStyle name="Normal 10 15 3 4 4" xfId="20390"/>
    <cellStyle name="Normal 10 15 3 5" xfId="20391"/>
    <cellStyle name="Normal 10 15 3 6" xfId="20392"/>
    <cellStyle name="Normal 10 15 3 7" xfId="20393"/>
    <cellStyle name="Normal 10 15 4" xfId="1166"/>
    <cellStyle name="Normal 10 15 4 2" xfId="20394"/>
    <cellStyle name="Normal 10 15 4 2 2" xfId="20395"/>
    <cellStyle name="Normal 10 15 4 2 3" xfId="20396"/>
    <cellStyle name="Normal 10 15 4 2 4" xfId="20397"/>
    <cellStyle name="Normal 10 15 4 3" xfId="20398"/>
    <cellStyle name="Normal 10 15 4 4" xfId="20399"/>
    <cellStyle name="Normal 10 15 4 5" xfId="20400"/>
    <cellStyle name="Normal 10 15 5" xfId="1167"/>
    <cellStyle name="Normal 10 15 5 2" xfId="20401"/>
    <cellStyle name="Normal 10 15 5 2 2" xfId="20402"/>
    <cellStyle name="Normal 10 15 5 2 3" xfId="20403"/>
    <cellStyle name="Normal 10 15 5 2 4" xfId="20404"/>
    <cellStyle name="Normal 10 15 5 3" xfId="20405"/>
    <cellStyle name="Normal 10 15 5 4" xfId="20406"/>
    <cellStyle name="Normal 10 15 5 5" xfId="20407"/>
    <cellStyle name="Normal 10 15 6" xfId="20408"/>
    <cellStyle name="Normal 10 15 6 2" xfId="20409"/>
    <cellStyle name="Normal 10 15 6 3" xfId="20410"/>
    <cellStyle name="Normal 10 15 6 4" xfId="20411"/>
    <cellStyle name="Normal 10 15 7" xfId="20412"/>
    <cellStyle name="Normal 10 15 8" xfId="20413"/>
    <cellStyle name="Normal 10 15 9" xfId="20414"/>
    <cellStyle name="Normal 10 16" xfId="1168"/>
    <cellStyle name="Normal 10 16 2" xfId="1169"/>
    <cellStyle name="Normal 10 16 2 2" xfId="1170"/>
    <cellStyle name="Normal 10 16 2 2 2" xfId="1171"/>
    <cellStyle name="Normal 10 16 2 2 2 2" xfId="20415"/>
    <cellStyle name="Normal 10 16 2 2 2 2 2" xfId="20416"/>
    <cellStyle name="Normal 10 16 2 2 2 2 3" xfId="20417"/>
    <cellStyle name="Normal 10 16 2 2 2 2 4" xfId="20418"/>
    <cellStyle name="Normal 10 16 2 2 2 3" xfId="20419"/>
    <cellStyle name="Normal 10 16 2 2 2 4" xfId="20420"/>
    <cellStyle name="Normal 10 16 2 2 2 5" xfId="20421"/>
    <cellStyle name="Normal 10 16 2 2 3" xfId="1172"/>
    <cellStyle name="Normal 10 16 2 2 3 2" xfId="20422"/>
    <cellStyle name="Normal 10 16 2 2 3 2 2" xfId="20423"/>
    <cellStyle name="Normal 10 16 2 2 3 2 3" xfId="20424"/>
    <cellStyle name="Normal 10 16 2 2 3 2 4" xfId="20425"/>
    <cellStyle name="Normal 10 16 2 2 3 3" xfId="20426"/>
    <cellStyle name="Normal 10 16 2 2 3 4" xfId="20427"/>
    <cellStyle name="Normal 10 16 2 2 3 5" xfId="20428"/>
    <cellStyle name="Normal 10 16 2 2 4" xfId="20429"/>
    <cellStyle name="Normal 10 16 2 2 4 2" xfId="20430"/>
    <cellStyle name="Normal 10 16 2 2 4 3" xfId="20431"/>
    <cellStyle name="Normal 10 16 2 2 4 4" xfId="20432"/>
    <cellStyle name="Normal 10 16 2 2 5" xfId="20433"/>
    <cellStyle name="Normal 10 16 2 2 6" xfId="20434"/>
    <cellStyle name="Normal 10 16 2 2 7" xfId="20435"/>
    <cellStyle name="Normal 10 16 2 3" xfId="1173"/>
    <cellStyle name="Normal 10 16 2 3 2" xfId="20436"/>
    <cellStyle name="Normal 10 16 2 3 2 2" xfId="20437"/>
    <cellStyle name="Normal 10 16 2 3 2 3" xfId="20438"/>
    <cellStyle name="Normal 10 16 2 3 2 4" xfId="20439"/>
    <cellStyle name="Normal 10 16 2 3 3" xfId="20440"/>
    <cellStyle name="Normal 10 16 2 3 4" xfId="20441"/>
    <cellStyle name="Normal 10 16 2 3 5" xfId="20442"/>
    <cellStyle name="Normal 10 16 2 4" xfId="1174"/>
    <cellStyle name="Normal 10 16 2 4 2" xfId="20443"/>
    <cellStyle name="Normal 10 16 2 4 2 2" xfId="20444"/>
    <cellStyle name="Normal 10 16 2 4 2 3" xfId="20445"/>
    <cellStyle name="Normal 10 16 2 4 2 4" xfId="20446"/>
    <cellStyle name="Normal 10 16 2 4 3" xfId="20447"/>
    <cellStyle name="Normal 10 16 2 4 4" xfId="20448"/>
    <cellStyle name="Normal 10 16 2 4 5" xfId="20449"/>
    <cellStyle name="Normal 10 16 2 5" xfId="20450"/>
    <cellStyle name="Normal 10 16 2 5 2" xfId="20451"/>
    <cellStyle name="Normal 10 16 2 5 3" xfId="20452"/>
    <cellStyle name="Normal 10 16 2 5 4" xfId="20453"/>
    <cellStyle name="Normal 10 16 2 6" xfId="20454"/>
    <cellStyle name="Normal 10 16 2 7" xfId="20455"/>
    <cellStyle name="Normal 10 16 2 8" xfId="20456"/>
    <cellStyle name="Normal 10 16 3" xfId="1175"/>
    <cellStyle name="Normal 10 16 3 2" xfId="1176"/>
    <cellStyle name="Normal 10 16 3 2 2" xfId="20457"/>
    <cellStyle name="Normal 10 16 3 2 2 2" xfId="20458"/>
    <cellStyle name="Normal 10 16 3 2 2 3" xfId="20459"/>
    <cellStyle name="Normal 10 16 3 2 2 4" xfId="20460"/>
    <cellStyle name="Normal 10 16 3 2 3" xfId="20461"/>
    <cellStyle name="Normal 10 16 3 2 4" xfId="20462"/>
    <cellStyle name="Normal 10 16 3 2 5" xfId="20463"/>
    <cellStyle name="Normal 10 16 3 3" xfId="1177"/>
    <cellStyle name="Normal 10 16 3 3 2" xfId="20464"/>
    <cellStyle name="Normal 10 16 3 3 2 2" xfId="20465"/>
    <cellStyle name="Normal 10 16 3 3 2 3" xfId="20466"/>
    <cellStyle name="Normal 10 16 3 3 2 4" xfId="20467"/>
    <cellStyle name="Normal 10 16 3 3 3" xfId="20468"/>
    <cellStyle name="Normal 10 16 3 3 4" xfId="20469"/>
    <cellStyle name="Normal 10 16 3 3 5" xfId="20470"/>
    <cellStyle name="Normal 10 16 3 4" xfId="20471"/>
    <cellStyle name="Normal 10 16 3 4 2" xfId="20472"/>
    <cellStyle name="Normal 10 16 3 4 3" xfId="20473"/>
    <cellStyle name="Normal 10 16 3 4 4" xfId="20474"/>
    <cellStyle name="Normal 10 16 3 5" xfId="20475"/>
    <cellStyle name="Normal 10 16 3 6" xfId="20476"/>
    <cellStyle name="Normal 10 16 3 7" xfId="20477"/>
    <cellStyle name="Normal 10 16 4" xfId="1178"/>
    <cellStyle name="Normal 10 16 4 2" xfId="20478"/>
    <cellStyle name="Normal 10 16 4 2 2" xfId="20479"/>
    <cellStyle name="Normal 10 16 4 2 3" xfId="20480"/>
    <cellStyle name="Normal 10 16 4 2 4" xfId="20481"/>
    <cellStyle name="Normal 10 16 4 3" xfId="20482"/>
    <cellStyle name="Normal 10 16 4 4" xfId="20483"/>
    <cellStyle name="Normal 10 16 4 5" xfId="20484"/>
    <cellStyle name="Normal 10 16 5" xfId="1179"/>
    <cellStyle name="Normal 10 16 5 2" xfId="20485"/>
    <cellStyle name="Normal 10 16 5 2 2" xfId="20486"/>
    <cellStyle name="Normal 10 16 5 2 3" xfId="20487"/>
    <cellStyle name="Normal 10 16 5 2 4" xfId="20488"/>
    <cellStyle name="Normal 10 16 5 3" xfId="20489"/>
    <cellStyle name="Normal 10 16 5 4" xfId="20490"/>
    <cellStyle name="Normal 10 16 5 5" xfId="20491"/>
    <cellStyle name="Normal 10 16 6" xfId="20492"/>
    <cellStyle name="Normal 10 16 6 2" xfId="20493"/>
    <cellStyle name="Normal 10 16 6 3" xfId="20494"/>
    <cellStyle name="Normal 10 16 6 4" xfId="20495"/>
    <cellStyle name="Normal 10 16 7" xfId="20496"/>
    <cellStyle name="Normal 10 16 8" xfId="20497"/>
    <cellStyle name="Normal 10 16 9" xfId="20498"/>
    <cellStyle name="Normal 10 17" xfId="1180"/>
    <cellStyle name="Normal 10 17 2" xfId="1181"/>
    <cellStyle name="Normal 10 17 2 2" xfId="1182"/>
    <cellStyle name="Normal 10 17 2 2 2" xfId="1183"/>
    <cellStyle name="Normal 10 17 2 2 2 2" xfId="20499"/>
    <cellStyle name="Normal 10 17 2 2 2 2 2" xfId="20500"/>
    <cellStyle name="Normal 10 17 2 2 2 2 3" xfId="20501"/>
    <cellStyle name="Normal 10 17 2 2 2 2 4" xfId="20502"/>
    <cellStyle name="Normal 10 17 2 2 2 3" xfId="20503"/>
    <cellStyle name="Normal 10 17 2 2 2 4" xfId="20504"/>
    <cellStyle name="Normal 10 17 2 2 2 5" xfId="20505"/>
    <cellStyle name="Normal 10 17 2 2 3" xfId="1184"/>
    <cellStyle name="Normal 10 17 2 2 3 2" xfId="20506"/>
    <cellStyle name="Normal 10 17 2 2 3 2 2" xfId="20507"/>
    <cellStyle name="Normal 10 17 2 2 3 2 3" xfId="20508"/>
    <cellStyle name="Normal 10 17 2 2 3 2 4" xfId="20509"/>
    <cellStyle name="Normal 10 17 2 2 3 3" xfId="20510"/>
    <cellStyle name="Normal 10 17 2 2 3 4" xfId="20511"/>
    <cellStyle name="Normal 10 17 2 2 3 5" xfId="20512"/>
    <cellStyle name="Normal 10 17 2 2 4" xfId="20513"/>
    <cellStyle name="Normal 10 17 2 2 4 2" xfId="20514"/>
    <cellStyle name="Normal 10 17 2 2 4 3" xfId="20515"/>
    <cellStyle name="Normal 10 17 2 2 4 4" xfId="20516"/>
    <cellStyle name="Normal 10 17 2 2 5" xfId="20517"/>
    <cellStyle name="Normal 10 17 2 2 6" xfId="20518"/>
    <cellStyle name="Normal 10 17 2 2 7" xfId="20519"/>
    <cellStyle name="Normal 10 17 2 3" xfId="1185"/>
    <cellStyle name="Normal 10 17 2 3 2" xfId="20520"/>
    <cellStyle name="Normal 10 17 2 3 2 2" xfId="20521"/>
    <cellStyle name="Normal 10 17 2 3 2 3" xfId="20522"/>
    <cellStyle name="Normal 10 17 2 3 2 4" xfId="20523"/>
    <cellStyle name="Normal 10 17 2 3 3" xfId="20524"/>
    <cellStyle name="Normal 10 17 2 3 4" xfId="20525"/>
    <cellStyle name="Normal 10 17 2 3 5" xfId="20526"/>
    <cellStyle name="Normal 10 17 2 4" xfId="1186"/>
    <cellStyle name="Normal 10 17 2 4 2" xfId="20527"/>
    <cellStyle name="Normal 10 17 2 4 2 2" xfId="20528"/>
    <cellStyle name="Normal 10 17 2 4 2 3" xfId="20529"/>
    <cellStyle name="Normal 10 17 2 4 2 4" xfId="20530"/>
    <cellStyle name="Normal 10 17 2 4 3" xfId="20531"/>
    <cellStyle name="Normal 10 17 2 4 4" xfId="20532"/>
    <cellStyle name="Normal 10 17 2 4 5" xfId="20533"/>
    <cellStyle name="Normal 10 17 2 5" xfId="20534"/>
    <cellStyle name="Normal 10 17 2 5 2" xfId="20535"/>
    <cellStyle name="Normal 10 17 2 5 3" xfId="20536"/>
    <cellStyle name="Normal 10 17 2 5 4" xfId="20537"/>
    <cellStyle name="Normal 10 17 2 6" xfId="20538"/>
    <cellStyle name="Normal 10 17 2 7" xfId="20539"/>
    <cellStyle name="Normal 10 17 2 8" xfId="20540"/>
    <cellStyle name="Normal 10 17 3" xfId="1187"/>
    <cellStyle name="Normal 10 17 3 2" xfId="1188"/>
    <cellStyle name="Normal 10 17 3 2 2" xfId="20541"/>
    <cellStyle name="Normal 10 17 3 2 2 2" xfId="20542"/>
    <cellStyle name="Normal 10 17 3 2 2 3" xfId="20543"/>
    <cellStyle name="Normal 10 17 3 2 2 4" xfId="20544"/>
    <cellStyle name="Normal 10 17 3 2 3" xfId="20545"/>
    <cellStyle name="Normal 10 17 3 2 4" xfId="20546"/>
    <cellStyle name="Normal 10 17 3 2 5" xfId="20547"/>
    <cellStyle name="Normal 10 17 3 3" xfId="1189"/>
    <cellStyle name="Normal 10 17 3 3 2" xfId="20548"/>
    <cellStyle name="Normal 10 17 3 3 2 2" xfId="20549"/>
    <cellStyle name="Normal 10 17 3 3 2 3" xfId="20550"/>
    <cellStyle name="Normal 10 17 3 3 2 4" xfId="20551"/>
    <cellStyle name="Normal 10 17 3 3 3" xfId="20552"/>
    <cellStyle name="Normal 10 17 3 3 4" xfId="20553"/>
    <cellStyle name="Normal 10 17 3 3 5" xfId="20554"/>
    <cellStyle name="Normal 10 17 3 4" xfId="20555"/>
    <cellStyle name="Normal 10 17 3 4 2" xfId="20556"/>
    <cellStyle name="Normal 10 17 3 4 3" xfId="20557"/>
    <cellStyle name="Normal 10 17 3 4 4" xfId="20558"/>
    <cellStyle name="Normal 10 17 3 5" xfId="20559"/>
    <cellStyle name="Normal 10 17 3 6" xfId="20560"/>
    <cellStyle name="Normal 10 17 3 7" xfId="20561"/>
    <cellStyle name="Normal 10 17 4" xfId="1190"/>
    <cellStyle name="Normal 10 17 4 2" xfId="20562"/>
    <cellStyle name="Normal 10 17 4 2 2" xfId="20563"/>
    <cellStyle name="Normal 10 17 4 2 3" xfId="20564"/>
    <cellStyle name="Normal 10 17 4 2 4" xfId="20565"/>
    <cellStyle name="Normal 10 17 4 3" xfId="20566"/>
    <cellStyle name="Normal 10 17 4 4" xfId="20567"/>
    <cellStyle name="Normal 10 17 4 5" xfId="20568"/>
    <cellStyle name="Normal 10 17 5" xfId="1191"/>
    <cellStyle name="Normal 10 17 5 2" xfId="20569"/>
    <cellStyle name="Normal 10 17 5 2 2" xfId="20570"/>
    <cellStyle name="Normal 10 17 5 2 3" xfId="20571"/>
    <cellStyle name="Normal 10 17 5 2 4" xfId="20572"/>
    <cellStyle name="Normal 10 17 5 3" xfId="20573"/>
    <cellStyle name="Normal 10 17 5 4" xfId="20574"/>
    <cellStyle name="Normal 10 17 5 5" xfId="20575"/>
    <cellStyle name="Normal 10 17 6" xfId="20576"/>
    <cellStyle name="Normal 10 17 6 2" xfId="20577"/>
    <cellStyle name="Normal 10 17 6 3" xfId="20578"/>
    <cellStyle name="Normal 10 17 6 4" xfId="20579"/>
    <cellStyle name="Normal 10 17 7" xfId="20580"/>
    <cellStyle name="Normal 10 17 8" xfId="20581"/>
    <cellStyle name="Normal 10 17 9" xfId="20582"/>
    <cellStyle name="Normal 10 18" xfId="1192"/>
    <cellStyle name="Normal 10 18 2" xfId="1193"/>
    <cellStyle name="Normal 10 18 2 2" xfId="1194"/>
    <cellStyle name="Normal 10 18 2 2 2" xfId="1195"/>
    <cellStyle name="Normal 10 18 2 2 2 2" xfId="20583"/>
    <cellStyle name="Normal 10 18 2 2 2 2 2" xfId="20584"/>
    <cellStyle name="Normal 10 18 2 2 2 2 3" xfId="20585"/>
    <cellStyle name="Normal 10 18 2 2 2 2 4" xfId="20586"/>
    <cellStyle name="Normal 10 18 2 2 2 3" xfId="20587"/>
    <cellStyle name="Normal 10 18 2 2 2 4" xfId="20588"/>
    <cellStyle name="Normal 10 18 2 2 2 5" xfId="20589"/>
    <cellStyle name="Normal 10 18 2 2 3" xfId="1196"/>
    <cellStyle name="Normal 10 18 2 2 3 2" xfId="20590"/>
    <cellStyle name="Normal 10 18 2 2 3 2 2" xfId="20591"/>
    <cellStyle name="Normal 10 18 2 2 3 2 3" xfId="20592"/>
    <cellStyle name="Normal 10 18 2 2 3 2 4" xfId="20593"/>
    <cellStyle name="Normal 10 18 2 2 3 3" xfId="20594"/>
    <cellStyle name="Normal 10 18 2 2 3 4" xfId="20595"/>
    <cellStyle name="Normal 10 18 2 2 3 5" xfId="20596"/>
    <cellStyle name="Normal 10 18 2 2 4" xfId="20597"/>
    <cellStyle name="Normal 10 18 2 2 4 2" xfId="20598"/>
    <cellStyle name="Normal 10 18 2 2 4 3" xfId="20599"/>
    <cellStyle name="Normal 10 18 2 2 4 4" xfId="20600"/>
    <cellStyle name="Normal 10 18 2 2 5" xfId="20601"/>
    <cellStyle name="Normal 10 18 2 2 6" xfId="20602"/>
    <cellStyle name="Normal 10 18 2 2 7" xfId="20603"/>
    <cellStyle name="Normal 10 18 2 3" xfId="1197"/>
    <cellStyle name="Normal 10 18 2 3 2" xfId="20604"/>
    <cellStyle name="Normal 10 18 2 3 2 2" xfId="20605"/>
    <cellStyle name="Normal 10 18 2 3 2 3" xfId="20606"/>
    <cellStyle name="Normal 10 18 2 3 2 4" xfId="20607"/>
    <cellStyle name="Normal 10 18 2 3 3" xfId="20608"/>
    <cellStyle name="Normal 10 18 2 3 4" xfId="20609"/>
    <cellStyle name="Normal 10 18 2 3 5" xfId="20610"/>
    <cellStyle name="Normal 10 18 2 4" xfId="1198"/>
    <cellStyle name="Normal 10 18 2 4 2" xfId="20611"/>
    <cellStyle name="Normal 10 18 2 4 2 2" xfId="20612"/>
    <cellStyle name="Normal 10 18 2 4 2 3" xfId="20613"/>
    <cellStyle name="Normal 10 18 2 4 2 4" xfId="20614"/>
    <cellStyle name="Normal 10 18 2 4 3" xfId="20615"/>
    <cellStyle name="Normal 10 18 2 4 4" xfId="20616"/>
    <cellStyle name="Normal 10 18 2 4 5" xfId="20617"/>
    <cellStyle name="Normal 10 18 2 5" xfId="20618"/>
    <cellStyle name="Normal 10 18 2 5 2" xfId="20619"/>
    <cellStyle name="Normal 10 18 2 5 3" xfId="20620"/>
    <cellStyle name="Normal 10 18 2 5 4" xfId="20621"/>
    <cellStyle name="Normal 10 18 2 6" xfId="20622"/>
    <cellStyle name="Normal 10 18 2 7" xfId="20623"/>
    <cellStyle name="Normal 10 18 2 8" xfId="20624"/>
    <cellStyle name="Normal 10 18 3" xfId="1199"/>
    <cellStyle name="Normal 10 18 3 2" xfId="1200"/>
    <cellStyle name="Normal 10 18 3 2 2" xfId="20625"/>
    <cellStyle name="Normal 10 18 3 2 2 2" xfId="20626"/>
    <cellStyle name="Normal 10 18 3 2 2 3" xfId="20627"/>
    <cellStyle name="Normal 10 18 3 2 2 4" xfId="20628"/>
    <cellStyle name="Normal 10 18 3 2 3" xfId="20629"/>
    <cellStyle name="Normal 10 18 3 2 4" xfId="20630"/>
    <cellStyle name="Normal 10 18 3 2 5" xfId="20631"/>
    <cellStyle name="Normal 10 18 3 3" xfId="1201"/>
    <cellStyle name="Normal 10 18 3 3 2" xfId="20632"/>
    <cellStyle name="Normal 10 18 3 3 2 2" xfId="20633"/>
    <cellStyle name="Normal 10 18 3 3 2 3" xfId="20634"/>
    <cellStyle name="Normal 10 18 3 3 2 4" xfId="20635"/>
    <cellStyle name="Normal 10 18 3 3 3" xfId="20636"/>
    <cellStyle name="Normal 10 18 3 3 4" xfId="20637"/>
    <cellStyle name="Normal 10 18 3 3 5" xfId="20638"/>
    <cellStyle name="Normal 10 18 3 4" xfId="20639"/>
    <cellStyle name="Normal 10 18 3 4 2" xfId="20640"/>
    <cellStyle name="Normal 10 18 3 4 3" xfId="20641"/>
    <cellStyle name="Normal 10 18 3 4 4" xfId="20642"/>
    <cellStyle name="Normal 10 18 3 5" xfId="20643"/>
    <cellStyle name="Normal 10 18 3 6" xfId="20644"/>
    <cellStyle name="Normal 10 18 3 7" xfId="20645"/>
    <cellStyle name="Normal 10 18 4" xfId="1202"/>
    <cellStyle name="Normal 10 18 4 2" xfId="20646"/>
    <cellStyle name="Normal 10 18 4 2 2" xfId="20647"/>
    <cellStyle name="Normal 10 18 4 2 3" xfId="20648"/>
    <cellStyle name="Normal 10 18 4 2 4" xfId="20649"/>
    <cellStyle name="Normal 10 18 4 3" xfId="20650"/>
    <cellStyle name="Normal 10 18 4 4" xfId="20651"/>
    <cellStyle name="Normal 10 18 4 5" xfId="20652"/>
    <cellStyle name="Normal 10 18 5" xfId="1203"/>
    <cellStyle name="Normal 10 18 5 2" xfId="20653"/>
    <cellStyle name="Normal 10 18 5 2 2" xfId="20654"/>
    <cellStyle name="Normal 10 18 5 2 3" xfId="20655"/>
    <cellStyle name="Normal 10 18 5 2 4" xfId="20656"/>
    <cellStyle name="Normal 10 18 5 3" xfId="20657"/>
    <cellStyle name="Normal 10 18 5 4" xfId="20658"/>
    <cellStyle name="Normal 10 18 5 5" xfId="20659"/>
    <cellStyle name="Normal 10 18 6" xfId="20660"/>
    <cellStyle name="Normal 10 18 6 2" xfId="20661"/>
    <cellStyle name="Normal 10 18 6 3" xfId="20662"/>
    <cellStyle name="Normal 10 18 6 4" xfId="20663"/>
    <cellStyle name="Normal 10 18 7" xfId="20664"/>
    <cellStyle name="Normal 10 18 8" xfId="20665"/>
    <cellStyle name="Normal 10 18 9" xfId="20666"/>
    <cellStyle name="Normal 10 19" xfId="1204"/>
    <cellStyle name="Normal 10 19 2" xfId="1205"/>
    <cellStyle name="Normal 10 19 2 2" xfId="1206"/>
    <cellStyle name="Normal 10 19 2 2 2" xfId="1207"/>
    <cellStyle name="Normal 10 19 2 2 2 2" xfId="20667"/>
    <cellStyle name="Normal 10 19 2 2 2 2 2" xfId="20668"/>
    <cellStyle name="Normal 10 19 2 2 2 2 3" xfId="20669"/>
    <cellStyle name="Normal 10 19 2 2 2 2 4" xfId="20670"/>
    <cellStyle name="Normal 10 19 2 2 2 3" xfId="20671"/>
    <cellStyle name="Normal 10 19 2 2 2 4" xfId="20672"/>
    <cellStyle name="Normal 10 19 2 2 2 5" xfId="20673"/>
    <cellStyle name="Normal 10 19 2 2 3" xfId="1208"/>
    <cellStyle name="Normal 10 19 2 2 3 2" xfId="20674"/>
    <cellStyle name="Normal 10 19 2 2 3 2 2" xfId="20675"/>
    <cellStyle name="Normal 10 19 2 2 3 2 3" xfId="20676"/>
    <cellStyle name="Normal 10 19 2 2 3 2 4" xfId="20677"/>
    <cellStyle name="Normal 10 19 2 2 3 3" xfId="20678"/>
    <cellStyle name="Normal 10 19 2 2 3 4" xfId="20679"/>
    <cellStyle name="Normal 10 19 2 2 3 5" xfId="20680"/>
    <cellStyle name="Normal 10 19 2 2 4" xfId="20681"/>
    <cellStyle name="Normal 10 19 2 2 4 2" xfId="20682"/>
    <cellStyle name="Normal 10 19 2 2 4 3" xfId="20683"/>
    <cellStyle name="Normal 10 19 2 2 4 4" xfId="20684"/>
    <cellStyle name="Normal 10 19 2 2 5" xfId="20685"/>
    <cellStyle name="Normal 10 19 2 2 6" xfId="20686"/>
    <cellStyle name="Normal 10 19 2 2 7" xfId="20687"/>
    <cellStyle name="Normal 10 19 2 3" xfId="1209"/>
    <cellStyle name="Normal 10 19 2 3 2" xfId="20688"/>
    <cellStyle name="Normal 10 19 2 3 2 2" xfId="20689"/>
    <cellStyle name="Normal 10 19 2 3 2 3" xfId="20690"/>
    <cellStyle name="Normal 10 19 2 3 2 4" xfId="20691"/>
    <cellStyle name="Normal 10 19 2 3 3" xfId="20692"/>
    <cellStyle name="Normal 10 19 2 3 4" xfId="20693"/>
    <cellStyle name="Normal 10 19 2 3 5" xfId="20694"/>
    <cellStyle name="Normal 10 19 2 4" xfId="1210"/>
    <cellStyle name="Normal 10 19 2 4 2" xfId="20695"/>
    <cellStyle name="Normal 10 19 2 4 2 2" xfId="20696"/>
    <cellStyle name="Normal 10 19 2 4 2 3" xfId="20697"/>
    <cellStyle name="Normal 10 19 2 4 2 4" xfId="20698"/>
    <cellStyle name="Normal 10 19 2 4 3" xfId="20699"/>
    <cellStyle name="Normal 10 19 2 4 4" xfId="20700"/>
    <cellStyle name="Normal 10 19 2 4 5" xfId="20701"/>
    <cellStyle name="Normal 10 19 2 5" xfId="20702"/>
    <cellStyle name="Normal 10 19 2 5 2" xfId="20703"/>
    <cellStyle name="Normal 10 19 2 5 3" xfId="20704"/>
    <cellStyle name="Normal 10 19 2 5 4" xfId="20705"/>
    <cellStyle name="Normal 10 19 2 6" xfId="20706"/>
    <cellStyle name="Normal 10 19 2 7" xfId="20707"/>
    <cellStyle name="Normal 10 19 2 8" xfId="20708"/>
    <cellStyle name="Normal 10 19 3" xfId="1211"/>
    <cellStyle name="Normal 10 19 3 2" xfId="1212"/>
    <cellStyle name="Normal 10 19 3 2 2" xfId="20709"/>
    <cellStyle name="Normal 10 19 3 2 2 2" xfId="20710"/>
    <cellStyle name="Normal 10 19 3 2 2 3" xfId="20711"/>
    <cellStyle name="Normal 10 19 3 2 2 4" xfId="20712"/>
    <cellStyle name="Normal 10 19 3 2 3" xfId="20713"/>
    <cellStyle name="Normal 10 19 3 2 4" xfId="20714"/>
    <cellStyle name="Normal 10 19 3 2 5" xfId="20715"/>
    <cellStyle name="Normal 10 19 3 3" xfId="1213"/>
    <cellStyle name="Normal 10 19 3 3 2" xfId="20716"/>
    <cellStyle name="Normal 10 19 3 3 2 2" xfId="20717"/>
    <cellStyle name="Normal 10 19 3 3 2 3" xfId="20718"/>
    <cellStyle name="Normal 10 19 3 3 2 4" xfId="20719"/>
    <cellStyle name="Normal 10 19 3 3 3" xfId="20720"/>
    <cellStyle name="Normal 10 19 3 3 4" xfId="20721"/>
    <cellStyle name="Normal 10 19 3 3 5" xfId="20722"/>
    <cellStyle name="Normal 10 19 3 4" xfId="20723"/>
    <cellStyle name="Normal 10 19 3 4 2" xfId="20724"/>
    <cellStyle name="Normal 10 19 3 4 3" xfId="20725"/>
    <cellStyle name="Normal 10 19 3 4 4" xfId="20726"/>
    <cellStyle name="Normal 10 19 3 5" xfId="20727"/>
    <cellStyle name="Normal 10 19 3 6" xfId="20728"/>
    <cellStyle name="Normal 10 19 3 7" xfId="20729"/>
    <cellStyle name="Normal 10 19 4" xfId="1214"/>
    <cellStyle name="Normal 10 19 4 2" xfId="20730"/>
    <cellStyle name="Normal 10 19 4 2 2" xfId="20731"/>
    <cellStyle name="Normal 10 19 4 2 3" xfId="20732"/>
    <cellStyle name="Normal 10 19 4 2 4" xfId="20733"/>
    <cellStyle name="Normal 10 19 4 3" xfId="20734"/>
    <cellStyle name="Normal 10 19 4 4" xfId="20735"/>
    <cellStyle name="Normal 10 19 4 5" xfId="20736"/>
    <cellStyle name="Normal 10 19 5" xfId="1215"/>
    <cellStyle name="Normal 10 19 5 2" xfId="20737"/>
    <cellStyle name="Normal 10 19 5 2 2" xfId="20738"/>
    <cellStyle name="Normal 10 19 5 2 3" xfId="20739"/>
    <cellStyle name="Normal 10 19 5 2 4" xfId="20740"/>
    <cellStyle name="Normal 10 19 5 3" xfId="20741"/>
    <cellStyle name="Normal 10 19 5 4" xfId="20742"/>
    <cellStyle name="Normal 10 19 5 5" xfId="20743"/>
    <cellStyle name="Normal 10 19 6" xfId="20744"/>
    <cellStyle name="Normal 10 19 6 2" xfId="20745"/>
    <cellStyle name="Normal 10 19 6 3" xfId="20746"/>
    <cellStyle name="Normal 10 19 6 4" xfId="20747"/>
    <cellStyle name="Normal 10 19 7" xfId="20748"/>
    <cellStyle name="Normal 10 19 8" xfId="20749"/>
    <cellStyle name="Normal 10 19 9" xfId="20750"/>
    <cellStyle name="Normal 10 2" xfId="1216"/>
    <cellStyle name="Normal 10 2 2" xfId="1217"/>
    <cellStyle name="Normal 10 2 2 2" xfId="1218"/>
    <cellStyle name="Normal 10 2 2 2 2" xfId="1219"/>
    <cellStyle name="Normal 10 2 2 2 2 2" xfId="20751"/>
    <cellStyle name="Normal 10 2 2 2 2 2 2" xfId="20752"/>
    <cellStyle name="Normal 10 2 2 2 2 2 3" xfId="20753"/>
    <cellStyle name="Normal 10 2 2 2 2 2 4" xfId="20754"/>
    <cellStyle name="Normal 10 2 2 2 2 3" xfId="20755"/>
    <cellStyle name="Normal 10 2 2 2 2 4" xfId="20756"/>
    <cellStyle name="Normal 10 2 2 2 2 5" xfId="20757"/>
    <cellStyle name="Normal 10 2 2 2 3" xfId="1220"/>
    <cellStyle name="Normal 10 2 2 2 3 2" xfId="20758"/>
    <cellStyle name="Normal 10 2 2 2 3 2 2" xfId="20759"/>
    <cellStyle name="Normal 10 2 2 2 3 2 3" xfId="20760"/>
    <cellStyle name="Normal 10 2 2 2 3 2 4" xfId="20761"/>
    <cellStyle name="Normal 10 2 2 2 3 3" xfId="20762"/>
    <cellStyle name="Normal 10 2 2 2 3 4" xfId="20763"/>
    <cellStyle name="Normal 10 2 2 2 3 5" xfId="20764"/>
    <cellStyle name="Normal 10 2 2 2 4" xfId="20765"/>
    <cellStyle name="Normal 10 2 2 2 4 2" xfId="20766"/>
    <cellStyle name="Normal 10 2 2 2 4 3" xfId="20767"/>
    <cellStyle name="Normal 10 2 2 2 4 4" xfId="20768"/>
    <cellStyle name="Normal 10 2 2 2 5" xfId="20769"/>
    <cellStyle name="Normal 10 2 2 2 6" xfId="20770"/>
    <cellStyle name="Normal 10 2 2 2 7" xfId="20771"/>
    <cellStyle name="Normal 10 2 2 3" xfId="1221"/>
    <cellStyle name="Normal 10 2 2 3 2" xfId="20772"/>
    <cellStyle name="Normal 10 2 2 3 2 2" xfId="20773"/>
    <cellStyle name="Normal 10 2 2 3 2 3" xfId="20774"/>
    <cellStyle name="Normal 10 2 2 3 2 4" xfId="20775"/>
    <cellStyle name="Normal 10 2 2 3 3" xfId="20776"/>
    <cellStyle name="Normal 10 2 2 3 4" xfId="20777"/>
    <cellStyle name="Normal 10 2 2 3 5" xfId="20778"/>
    <cellStyle name="Normal 10 2 2 4" xfId="1222"/>
    <cellStyle name="Normal 10 2 2 4 2" xfId="20779"/>
    <cellStyle name="Normal 10 2 2 4 2 2" xfId="20780"/>
    <cellStyle name="Normal 10 2 2 4 2 3" xfId="20781"/>
    <cellStyle name="Normal 10 2 2 4 2 4" xfId="20782"/>
    <cellStyle name="Normal 10 2 2 4 3" xfId="20783"/>
    <cellStyle name="Normal 10 2 2 4 4" xfId="20784"/>
    <cellStyle name="Normal 10 2 2 4 5" xfId="20785"/>
    <cellStyle name="Normal 10 2 2 5" xfId="20786"/>
    <cellStyle name="Normal 10 2 2 5 2" xfId="20787"/>
    <cellStyle name="Normal 10 2 2 5 3" xfId="20788"/>
    <cellStyle name="Normal 10 2 2 5 4" xfId="20789"/>
    <cellStyle name="Normal 10 2 2 6" xfId="20790"/>
    <cellStyle name="Normal 10 2 2 7" xfId="20791"/>
    <cellStyle name="Normal 10 2 2 8" xfId="20792"/>
    <cellStyle name="Normal 10 2 3" xfId="1223"/>
    <cellStyle name="Normal 10 2 3 2" xfId="1224"/>
    <cellStyle name="Normal 10 2 3 2 2" xfId="20793"/>
    <cellStyle name="Normal 10 2 3 2 2 2" xfId="20794"/>
    <cellStyle name="Normal 10 2 3 2 2 3" xfId="20795"/>
    <cellStyle name="Normal 10 2 3 2 2 4" xfId="20796"/>
    <cellStyle name="Normal 10 2 3 2 3" xfId="20797"/>
    <cellStyle name="Normal 10 2 3 2 4" xfId="20798"/>
    <cellStyle name="Normal 10 2 3 2 5" xfId="20799"/>
    <cellStyle name="Normal 10 2 3 3" xfId="1225"/>
    <cellStyle name="Normal 10 2 3 3 2" xfId="20800"/>
    <cellStyle name="Normal 10 2 3 3 2 2" xfId="20801"/>
    <cellStyle name="Normal 10 2 3 3 2 3" xfId="20802"/>
    <cellStyle name="Normal 10 2 3 3 2 4" xfId="20803"/>
    <cellStyle name="Normal 10 2 3 3 3" xfId="20804"/>
    <cellStyle name="Normal 10 2 3 3 4" xfId="20805"/>
    <cellStyle name="Normal 10 2 3 3 5" xfId="20806"/>
    <cellStyle name="Normal 10 2 3 4" xfId="20807"/>
    <cellStyle name="Normal 10 2 3 4 2" xfId="20808"/>
    <cellStyle name="Normal 10 2 3 4 3" xfId="20809"/>
    <cellStyle name="Normal 10 2 3 4 4" xfId="20810"/>
    <cellStyle name="Normal 10 2 3 5" xfId="20811"/>
    <cellStyle name="Normal 10 2 3 6" xfId="20812"/>
    <cellStyle name="Normal 10 2 3 7" xfId="20813"/>
    <cellStyle name="Normal 10 2 4" xfId="1226"/>
    <cellStyle name="Normal 10 2 4 2" xfId="20814"/>
    <cellStyle name="Normal 10 2 4 2 2" xfId="20815"/>
    <cellStyle name="Normal 10 2 4 2 3" xfId="20816"/>
    <cellStyle name="Normal 10 2 4 2 4" xfId="20817"/>
    <cellStyle name="Normal 10 2 4 3" xfId="20818"/>
    <cellStyle name="Normal 10 2 4 4" xfId="20819"/>
    <cellStyle name="Normal 10 2 4 5" xfId="20820"/>
    <cellStyle name="Normal 10 2 5" xfId="1227"/>
    <cellStyle name="Normal 10 2 5 2" xfId="20821"/>
    <cellStyle name="Normal 10 2 5 2 2" xfId="20822"/>
    <cellStyle name="Normal 10 2 5 2 3" xfId="20823"/>
    <cellStyle name="Normal 10 2 5 2 4" xfId="20824"/>
    <cellStyle name="Normal 10 2 5 3" xfId="20825"/>
    <cellStyle name="Normal 10 2 5 4" xfId="20826"/>
    <cellStyle name="Normal 10 2 5 5" xfId="20827"/>
    <cellStyle name="Normal 10 2 6" xfId="20828"/>
    <cellStyle name="Normal 10 2 6 2" xfId="20829"/>
    <cellStyle name="Normal 10 2 6 3" xfId="20830"/>
    <cellStyle name="Normal 10 2 6 4" xfId="20831"/>
    <cellStyle name="Normal 10 2 7" xfId="20832"/>
    <cellStyle name="Normal 10 2 8" xfId="20833"/>
    <cellStyle name="Normal 10 2 9" xfId="20834"/>
    <cellStyle name="Normal 10 20" xfId="1228"/>
    <cellStyle name="Normal 10 20 2" xfId="1229"/>
    <cellStyle name="Normal 10 20 2 2" xfId="1230"/>
    <cellStyle name="Normal 10 20 2 2 2" xfId="20835"/>
    <cellStyle name="Normal 10 20 2 2 2 2" xfId="20836"/>
    <cellStyle name="Normal 10 20 2 2 2 3" xfId="20837"/>
    <cellStyle name="Normal 10 20 2 2 2 4" xfId="20838"/>
    <cellStyle name="Normal 10 20 2 2 3" xfId="20839"/>
    <cellStyle name="Normal 10 20 2 2 4" xfId="20840"/>
    <cellStyle name="Normal 10 20 2 2 5" xfId="20841"/>
    <cellStyle name="Normal 10 20 2 3" xfId="1231"/>
    <cellStyle name="Normal 10 20 2 3 2" xfId="20842"/>
    <cellStyle name="Normal 10 20 2 3 2 2" xfId="20843"/>
    <cellStyle name="Normal 10 20 2 3 2 3" xfId="20844"/>
    <cellStyle name="Normal 10 20 2 3 2 4" xfId="20845"/>
    <cellStyle name="Normal 10 20 2 3 3" xfId="20846"/>
    <cellStyle name="Normal 10 20 2 3 4" xfId="20847"/>
    <cellStyle name="Normal 10 20 2 3 5" xfId="20848"/>
    <cellStyle name="Normal 10 20 2 4" xfId="20849"/>
    <cellStyle name="Normal 10 20 2 4 2" xfId="20850"/>
    <cellStyle name="Normal 10 20 2 4 3" xfId="20851"/>
    <cellStyle name="Normal 10 20 2 4 4" xfId="20852"/>
    <cellStyle name="Normal 10 20 2 5" xfId="20853"/>
    <cellStyle name="Normal 10 20 2 6" xfId="20854"/>
    <cellStyle name="Normal 10 20 2 7" xfId="20855"/>
    <cellStyle name="Normal 10 20 3" xfId="1232"/>
    <cellStyle name="Normal 10 20 3 2" xfId="20856"/>
    <cellStyle name="Normal 10 20 3 2 2" xfId="20857"/>
    <cellStyle name="Normal 10 20 3 2 3" xfId="20858"/>
    <cellStyle name="Normal 10 20 3 2 4" xfId="20859"/>
    <cellStyle name="Normal 10 20 3 3" xfId="20860"/>
    <cellStyle name="Normal 10 20 3 4" xfId="20861"/>
    <cellStyle name="Normal 10 20 3 5" xfId="20862"/>
    <cellStyle name="Normal 10 20 4" xfId="1233"/>
    <cellStyle name="Normal 10 20 4 2" xfId="20863"/>
    <cellStyle name="Normal 10 20 4 2 2" xfId="20864"/>
    <cellStyle name="Normal 10 20 4 2 3" xfId="20865"/>
    <cellStyle name="Normal 10 20 4 2 4" xfId="20866"/>
    <cellStyle name="Normal 10 20 4 3" xfId="20867"/>
    <cellStyle name="Normal 10 20 4 4" xfId="20868"/>
    <cellStyle name="Normal 10 20 4 5" xfId="20869"/>
    <cellStyle name="Normal 10 20 5" xfId="20870"/>
    <cellStyle name="Normal 10 20 5 2" xfId="20871"/>
    <cellStyle name="Normal 10 20 5 3" xfId="20872"/>
    <cellStyle name="Normal 10 20 5 4" xfId="20873"/>
    <cellStyle name="Normal 10 20 6" xfId="20874"/>
    <cellStyle name="Normal 10 20 7" xfId="20875"/>
    <cellStyle name="Normal 10 20 8" xfId="20876"/>
    <cellStyle name="Normal 10 21" xfId="1234"/>
    <cellStyle name="Normal 10 21 2" xfId="1235"/>
    <cellStyle name="Normal 10 21 2 2" xfId="20877"/>
    <cellStyle name="Normal 10 21 2 2 2" xfId="20878"/>
    <cellStyle name="Normal 10 21 2 2 3" xfId="20879"/>
    <cellStyle name="Normal 10 21 2 2 4" xfId="20880"/>
    <cellStyle name="Normal 10 21 2 3" xfId="20881"/>
    <cellStyle name="Normal 10 21 2 4" xfId="20882"/>
    <cellStyle name="Normal 10 21 2 5" xfId="20883"/>
    <cellStyle name="Normal 10 21 3" xfId="1236"/>
    <cellStyle name="Normal 10 21 3 2" xfId="20884"/>
    <cellStyle name="Normal 10 21 3 2 2" xfId="20885"/>
    <cellStyle name="Normal 10 21 3 2 3" xfId="20886"/>
    <cellStyle name="Normal 10 21 3 2 4" xfId="20887"/>
    <cellStyle name="Normal 10 21 3 3" xfId="20888"/>
    <cellStyle name="Normal 10 21 3 4" xfId="20889"/>
    <cellStyle name="Normal 10 21 3 5" xfId="20890"/>
    <cellStyle name="Normal 10 21 4" xfId="20891"/>
    <cellStyle name="Normal 10 21 4 2" xfId="20892"/>
    <cellStyle name="Normal 10 21 4 3" xfId="20893"/>
    <cellStyle name="Normal 10 21 4 4" xfId="20894"/>
    <cellStyle name="Normal 10 21 5" xfId="20895"/>
    <cellStyle name="Normal 10 21 6" xfId="20896"/>
    <cellStyle name="Normal 10 21 7" xfId="20897"/>
    <cellStyle name="Normal 10 22" xfId="1237"/>
    <cellStyle name="Normal 10 22 2" xfId="20898"/>
    <cellStyle name="Normal 10 22 2 2" xfId="20899"/>
    <cellStyle name="Normal 10 22 2 3" xfId="20900"/>
    <cellStyle name="Normal 10 22 2 4" xfId="20901"/>
    <cellStyle name="Normal 10 22 3" xfId="20902"/>
    <cellStyle name="Normal 10 22 4" xfId="20903"/>
    <cellStyle name="Normal 10 22 5" xfId="20904"/>
    <cellStyle name="Normal 10 23" xfId="1238"/>
    <cellStyle name="Normal 10 23 2" xfId="20905"/>
    <cellStyle name="Normal 10 23 2 2" xfId="20906"/>
    <cellStyle name="Normal 10 23 2 3" xfId="20907"/>
    <cellStyle name="Normal 10 23 2 4" xfId="20908"/>
    <cellStyle name="Normal 10 23 3" xfId="20909"/>
    <cellStyle name="Normal 10 23 4" xfId="20910"/>
    <cellStyle name="Normal 10 23 5" xfId="20911"/>
    <cellStyle name="Normal 10 24" xfId="20912"/>
    <cellStyle name="Normal 10 24 2" xfId="20913"/>
    <cellStyle name="Normal 10 24 3" xfId="20914"/>
    <cellStyle name="Normal 10 24 4" xfId="20915"/>
    <cellStyle name="Normal 10 25" xfId="20916"/>
    <cellStyle name="Normal 10 26" xfId="20917"/>
    <cellStyle name="Normal 10 27" xfId="20918"/>
    <cellStyle name="Normal 10 28" xfId="20919"/>
    <cellStyle name="Normal 10 29" xfId="20920"/>
    <cellStyle name="Normal 10 3" xfId="1239"/>
    <cellStyle name="Normal 10 3 2" xfId="1240"/>
    <cellStyle name="Normal 10 3 2 2" xfId="1241"/>
    <cellStyle name="Normal 10 3 2 2 2" xfId="1242"/>
    <cellStyle name="Normal 10 3 2 2 2 2" xfId="20921"/>
    <cellStyle name="Normal 10 3 2 2 2 2 2" xfId="20922"/>
    <cellStyle name="Normal 10 3 2 2 2 2 3" xfId="20923"/>
    <cellStyle name="Normal 10 3 2 2 2 2 4" xfId="20924"/>
    <cellStyle name="Normal 10 3 2 2 2 3" xfId="20925"/>
    <cellStyle name="Normal 10 3 2 2 2 4" xfId="20926"/>
    <cellStyle name="Normal 10 3 2 2 2 5" xfId="20927"/>
    <cellStyle name="Normal 10 3 2 2 3" xfId="1243"/>
    <cellStyle name="Normal 10 3 2 2 3 2" xfId="20928"/>
    <cellStyle name="Normal 10 3 2 2 3 2 2" xfId="20929"/>
    <cellStyle name="Normal 10 3 2 2 3 2 3" xfId="20930"/>
    <cellStyle name="Normal 10 3 2 2 3 2 4" xfId="20931"/>
    <cellStyle name="Normal 10 3 2 2 3 3" xfId="20932"/>
    <cellStyle name="Normal 10 3 2 2 3 4" xfId="20933"/>
    <cellStyle name="Normal 10 3 2 2 3 5" xfId="20934"/>
    <cellStyle name="Normal 10 3 2 2 4" xfId="20935"/>
    <cellStyle name="Normal 10 3 2 2 4 2" xfId="20936"/>
    <cellStyle name="Normal 10 3 2 2 4 3" xfId="20937"/>
    <cellStyle name="Normal 10 3 2 2 4 4" xfId="20938"/>
    <cellStyle name="Normal 10 3 2 2 5" xfId="20939"/>
    <cellStyle name="Normal 10 3 2 2 6" xfId="20940"/>
    <cellStyle name="Normal 10 3 2 2 7" xfId="20941"/>
    <cellStyle name="Normal 10 3 2 3" xfId="1244"/>
    <cellStyle name="Normal 10 3 2 3 2" xfId="20942"/>
    <cellStyle name="Normal 10 3 2 3 2 2" xfId="20943"/>
    <cellStyle name="Normal 10 3 2 3 2 3" xfId="20944"/>
    <cellStyle name="Normal 10 3 2 3 2 4" xfId="20945"/>
    <cellStyle name="Normal 10 3 2 3 3" xfId="20946"/>
    <cellStyle name="Normal 10 3 2 3 4" xfId="20947"/>
    <cellStyle name="Normal 10 3 2 3 5" xfId="20948"/>
    <cellStyle name="Normal 10 3 2 4" xfId="1245"/>
    <cellStyle name="Normal 10 3 2 4 2" xfId="20949"/>
    <cellStyle name="Normal 10 3 2 4 2 2" xfId="20950"/>
    <cellStyle name="Normal 10 3 2 4 2 3" xfId="20951"/>
    <cellStyle name="Normal 10 3 2 4 2 4" xfId="20952"/>
    <cellStyle name="Normal 10 3 2 4 3" xfId="20953"/>
    <cellStyle name="Normal 10 3 2 4 4" xfId="20954"/>
    <cellStyle name="Normal 10 3 2 4 5" xfId="20955"/>
    <cellStyle name="Normal 10 3 2 5" xfId="20956"/>
    <cellStyle name="Normal 10 3 2 5 2" xfId="20957"/>
    <cellStyle name="Normal 10 3 2 5 3" xfId="20958"/>
    <cellStyle name="Normal 10 3 2 5 4" xfId="20959"/>
    <cellStyle name="Normal 10 3 2 6" xfId="20960"/>
    <cellStyle name="Normal 10 3 2 7" xfId="20961"/>
    <cellStyle name="Normal 10 3 2 8" xfId="20962"/>
    <cellStyle name="Normal 10 3 3" xfId="1246"/>
    <cellStyle name="Normal 10 3 3 2" xfId="1247"/>
    <cellStyle name="Normal 10 3 3 2 2" xfId="20963"/>
    <cellStyle name="Normal 10 3 3 2 2 2" xfId="20964"/>
    <cellStyle name="Normal 10 3 3 2 2 3" xfId="20965"/>
    <cellStyle name="Normal 10 3 3 2 2 4" xfId="20966"/>
    <cellStyle name="Normal 10 3 3 2 3" xfId="20967"/>
    <cellStyle name="Normal 10 3 3 2 4" xfId="20968"/>
    <cellStyle name="Normal 10 3 3 2 5" xfId="20969"/>
    <cellStyle name="Normal 10 3 3 3" xfId="1248"/>
    <cellStyle name="Normal 10 3 3 3 2" xfId="20970"/>
    <cellStyle name="Normal 10 3 3 3 2 2" xfId="20971"/>
    <cellStyle name="Normal 10 3 3 3 2 3" xfId="20972"/>
    <cellStyle name="Normal 10 3 3 3 2 4" xfId="20973"/>
    <cellStyle name="Normal 10 3 3 3 3" xfId="20974"/>
    <cellStyle name="Normal 10 3 3 3 4" xfId="20975"/>
    <cellStyle name="Normal 10 3 3 3 5" xfId="20976"/>
    <cellStyle name="Normal 10 3 3 4" xfId="20977"/>
    <cellStyle name="Normal 10 3 3 4 2" xfId="20978"/>
    <cellStyle name="Normal 10 3 3 4 3" xfId="20979"/>
    <cellStyle name="Normal 10 3 3 4 4" xfId="20980"/>
    <cellStyle name="Normal 10 3 3 5" xfId="20981"/>
    <cellStyle name="Normal 10 3 3 6" xfId="20982"/>
    <cellStyle name="Normal 10 3 3 7" xfId="20983"/>
    <cellStyle name="Normal 10 3 4" xfId="1249"/>
    <cellStyle name="Normal 10 3 4 2" xfId="20984"/>
    <cellStyle name="Normal 10 3 4 2 2" xfId="20985"/>
    <cellStyle name="Normal 10 3 4 2 3" xfId="20986"/>
    <cellStyle name="Normal 10 3 4 2 4" xfId="20987"/>
    <cellStyle name="Normal 10 3 4 3" xfId="20988"/>
    <cellStyle name="Normal 10 3 4 4" xfId="20989"/>
    <cellStyle name="Normal 10 3 4 5" xfId="20990"/>
    <cellStyle name="Normal 10 3 5" xfId="1250"/>
    <cellStyle name="Normal 10 3 5 2" xfId="20991"/>
    <cellStyle name="Normal 10 3 5 2 2" xfId="20992"/>
    <cellStyle name="Normal 10 3 5 2 3" xfId="20993"/>
    <cellStyle name="Normal 10 3 5 2 4" xfId="20994"/>
    <cellStyle name="Normal 10 3 5 3" xfId="20995"/>
    <cellStyle name="Normal 10 3 5 4" xfId="20996"/>
    <cellStyle name="Normal 10 3 5 5" xfId="20997"/>
    <cellStyle name="Normal 10 3 6" xfId="20998"/>
    <cellStyle name="Normal 10 3 6 2" xfId="20999"/>
    <cellStyle name="Normal 10 3 6 3" xfId="21000"/>
    <cellStyle name="Normal 10 3 6 4" xfId="21001"/>
    <cellStyle name="Normal 10 3 7" xfId="21002"/>
    <cellStyle name="Normal 10 3 8" xfId="21003"/>
    <cellStyle name="Normal 10 3 9" xfId="21004"/>
    <cellStyle name="Normal 10 30" xfId="40308"/>
    <cellStyle name="Normal 10 4" xfId="1251"/>
    <cellStyle name="Normal 10 4 2" xfId="1252"/>
    <cellStyle name="Normal 10 4 2 2" xfId="1253"/>
    <cellStyle name="Normal 10 4 2 2 2" xfId="1254"/>
    <cellStyle name="Normal 10 4 2 2 2 2" xfId="21005"/>
    <cellStyle name="Normal 10 4 2 2 2 2 2" xfId="21006"/>
    <cellStyle name="Normal 10 4 2 2 2 2 3" xfId="21007"/>
    <cellStyle name="Normal 10 4 2 2 2 2 4" xfId="21008"/>
    <cellStyle name="Normal 10 4 2 2 2 3" xfId="21009"/>
    <cellStyle name="Normal 10 4 2 2 2 4" xfId="21010"/>
    <cellStyle name="Normal 10 4 2 2 2 5" xfId="21011"/>
    <cellStyle name="Normal 10 4 2 2 3" xfId="1255"/>
    <cellStyle name="Normal 10 4 2 2 3 2" xfId="21012"/>
    <cellStyle name="Normal 10 4 2 2 3 2 2" xfId="21013"/>
    <cellStyle name="Normal 10 4 2 2 3 2 3" xfId="21014"/>
    <cellStyle name="Normal 10 4 2 2 3 2 4" xfId="21015"/>
    <cellStyle name="Normal 10 4 2 2 3 3" xfId="21016"/>
    <cellStyle name="Normal 10 4 2 2 3 4" xfId="21017"/>
    <cellStyle name="Normal 10 4 2 2 3 5" xfId="21018"/>
    <cellStyle name="Normal 10 4 2 2 4" xfId="21019"/>
    <cellStyle name="Normal 10 4 2 2 4 2" xfId="21020"/>
    <cellStyle name="Normal 10 4 2 2 4 3" xfId="21021"/>
    <cellStyle name="Normal 10 4 2 2 4 4" xfId="21022"/>
    <cellStyle name="Normal 10 4 2 2 5" xfId="21023"/>
    <cellStyle name="Normal 10 4 2 2 6" xfId="21024"/>
    <cellStyle name="Normal 10 4 2 2 7" xfId="21025"/>
    <cellStyle name="Normal 10 4 2 3" xfId="1256"/>
    <cellStyle name="Normal 10 4 2 3 2" xfId="21026"/>
    <cellStyle name="Normal 10 4 2 3 2 2" xfId="21027"/>
    <cellStyle name="Normal 10 4 2 3 2 3" xfId="21028"/>
    <cellStyle name="Normal 10 4 2 3 2 4" xfId="21029"/>
    <cellStyle name="Normal 10 4 2 3 3" xfId="21030"/>
    <cellStyle name="Normal 10 4 2 3 4" xfId="21031"/>
    <cellStyle name="Normal 10 4 2 3 5" xfId="21032"/>
    <cellStyle name="Normal 10 4 2 4" xfId="1257"/>
    <cellStyle name="Normal 10 4 2 4 2" xfId="21033"/>
    <cellStyle name="Normal 10 4 2 4 2 2" xfId="21034"/>
    <cellStyle name="Normal 10 4 2 4 2 3" xfId="21035"/>
    <cellStyle name="Normal 10 4 2 4 2 4" xfId="21036"/>
    <cellStyle name="Normal 10 4 2 4 3" xfId="21037"/>
    <cellStyle name="Normal 10 4 2 4 4" xfId="21038"/>
    <cellStyle name="Normal 10 4 2 4 5" xfId="21039"/>
    <cellStyle name="Normal 10 4 2 5" xfId="21040"/>
    <cellStyle name="Normal 10 4 2 5 2" xfId="21041"/>
    <cellStyle name="Normal 10 4 2 5 3" xfId="21042"/>
    <cellStyle name="Normal 10 4 2 5 4" xfId="21043"/>
    <cellStyle name="Normal 10 4 2 6" xfId="21044"/>
    <cellStyle name="Normal 10 4 2 7" xfId="21045"/>
    <cellStyle name="Normal 10 4 2 8" xfId="21046"/>
    <cellStyle name="Normal 10 4 3" xfId="1258"/>
    <cellStyle name="Normal 10 4 3 2" xfId="1259"/>
    <cellStyle name="Normal 10 4 3 2 2" xfId="21047"/>
    <cellStyle name="Normal 10 4 3 2 2 2" xfId="21048"/>
    <cellStyle name="Normal 10 4 3 2 2 3" xfId="21049"/>
    <cellStyle name="Normal 10 4 3 2 2 4" xfId="21050"/>
    <cellStyle name="Normal 10 4 3 2 3" xfId="21051"/>
    <cellStyle name="Normal 10 4 3 2 4" xfId="21052"/>
    <cellStyle name="Normal 10 4 3 2 5" xfId="21053"/>
    <cellStyle name="Normal 10 4 3 3" xfId="1260"/>
    <cellStyle name="Normal 10 4 3 3 2" xfId="21054"/>
    <cellStyle name="Normal 10 4 3 3 2 2" xfId="21055"/>
    <cellStyle name="Normal 10 4 3 3 2 3" xfId="21056"/>
    <cellStyle name="Normal 10 4 3 3 2 4" xfId="21057"/>
    <cellStyle name="Normal 10 4 3 3 3" xfId="21058"/>
    <cellStyle name="Normal 10 4 3 3 4" xfId="21059"/>
    <cellStyle name="Normal 10 4 3 3 5" xfId="21060"/>
    <cellStyle name="Normal 10 4 3 4" xfId="21061"/>
    <cellStyle name="Normal 10 4 3 4 2" xfId="21062"/>
    <cellStyle name="Normal 10 4 3 4 3" xfId="21063"/>
    <cellStyle name="Normal 10 4 3 4 4" xfId="21064"/>
    <cellStyle name="Normal 10 4 3 5" xfId="21065"/>
    <cellStyle name="Normal 10 4 3 6" xfId="21066"/>
    <cellStyle name="Normal 10 4 3 7" xfId="21067"/>
    <cellStyle name="Normal 10 4 4" xfId="1261"/>
    <cellStyle name="Normal 10 4 4 2" xfId="21068"/>
    <cellStyle name="Normal 10 4 4 2 2" xfId="21069"/>
    <cellStyle name="Normal 10 4 4 2 3" xfId="21070"/>
    <cellStyle name="Normal 10 4 4 2 4" xfId="21071"/>
    <cellStyle name="Normal 10 4 4 3" xfId="21072"/>
    <cellStyle name="Normal 10 4 4 4" xfId="21073"/>
    <cellStyle name="Normal 10 4 4 5" xfId="21074"/>
    <cellStyle name="Normal 10 4 5" xfId="1262"/>
    <cellStyle name="Normal 10 4 5 2" xfId="21075"/>
    <cellStyle name="Normal 10 4 5 2 2" xfId="21076"/>
    <cellStyle name="Normal 10 4 5 2 3" xfId="21077"/>
    <cellStyle name="Normal 10 4 5 2 4" xfId="21078"/>
    <cellStyle name="Normal 10 4 5 3" xfId="21079"/>
    <cellStyle name="Normal 10 4 5 4" xfId="21080"/>
    <cellStyle name="Normal 10 4 5 5" xfId="21081"/>
    <cellStyle name="Normal 10 4 6" xfId="21082"/>
    <cellStyle name="Normal 10 4 6 2" xfId="21083"/>
    <cellStyle name="Normal 10 4 6 3" xfId="21084"/>
    <cellStyle name="Normal 10 4 6 4" xfId="21085"/>
    <cellStyle name="Normal 10 4 7" xfId="21086"/>
    <cellStyle name="Normal 10 4 8" xfId="21087"/>
    <cellStyle name="Normal 10 4 9" xfId="21088"/>
    <cellStyle name="Normal 10 5" xfId="1263"/>
    <cellStyle name="Normal 10 5 2" xfId="1264"/>
    <cellStyle name="Normal 10 5 2 2" xfId="1265"/>
    <cellStyle name="Normal 10 5 2 2 2" xfId="1266"/>
    <cellStyle name="Normal 10 5 2 2 2 2" xfId="21089"/>
    <cellStyle name="Normal 10 5 2 2 2 2 2" xfId="21090"/>
    <cellStyle name="Normal 10 5 2 2 2 2 3" xfId="21091"/>
    <cellStyle name="Normal 10 5 2 2 2 2 4" xfId="21092"/>
    <cellStyle name="Normal 10 5 2 2 2 3" xfId="21093"/>
    <cellStyle name="Normal 10 5 2 2 2 4" xfId="21094"/>
    <cellStyle name="Normal 10 5 2 2 2 5" xfId="21095"/>
    <cellStyle name="Normal 10 5 2 2 3" xfId="1267"/>
    <cellStyle name="Normal 10 5 2 2 3 2" xfId="21096"/>
    <cellStyle name="Normal 10 5 2 2 3 2 2" xfId="21097"/>
    <cellStyle name="Normal 10 5 2 2 3 2 3" xfId="21098"/>
    <cellStyle name="Normal 10 5 2 2 3 2 4" xfId="21099"/>
    <cellStyle name="Normal 10 5 2 2 3 3" xfId="21100"/>
    <cellStyle name="Normal 10 5 2 2 3 4" xfId="21101"/>
    <cellStyle name="Normal 10 5 2 2 3 5" xfId="21102"/>
    <cellStyle name="Normal 10 5 2 2 4" xfId="21103"/>
    <cellStyle name="Normal 10 5 2 2 4 2" xfId="21104"/>
    <cellStyle name="Normal 10 5 2 2 4 3" xfId="21105"/>
    <cellStyle name="Normal 10 5 2 2 4 4" xfId="21106"/>
    <cellStyle name="Normal 10 5 2 2 5" xfId="21107"/>
    <cellStyle name="Normal 10 5 2 2 6" xfId="21108"/>
    <cellStyle name="Normal 10 5 2 2 7" xfId="21109"/>
    <cellStyle name="Normal 10 5 2 3" xfId="1268"/>
    <cellStyle name="Normal 10 5 2 3 2" xfId="21110"/>
    <cellStyle name="Normal 10 5 2 3 2 2" xfId="21111"/>
    <cellStyle name="Normal 10 5 2 3 2 3" xfId="21112"/>
    <cellStyle name="Normal 10 5 2 3 2 4" xfId="21113"/>
    <cellStyle name="Normal 10 5 2 3 3" xfId="21114"/>
    <cellStyle name="Normal 10 5 2 3 4" xfId="21115"/>
    <cellStyle name="Normal 10 5 2 3 5" xfId="21116"/>
    <cellStyle name="Normal 10 5 2 4" xfId="1269"/>
    <cellStyle name="Normal 10 5 2 4 2" xfId="21117"/>
    <cellStyle name="Normal 10 5 2 4 2 2" xfId="21118"/>
    <cellStyle name="Normal 10 5 2 4 2 3" xfId="21119"/>
    <cellStyle name="Normal 10 5 2 4 2 4" xfId="21120"/>
    <cellStyle name="Normal 10 5 2 4 3" xfId="21121"/>
    <cellStyle name="Normal 10 5 2 4 4" xfId="21122"/>
    <cellStyle name="Normal 10 5 2 4 5" xfId="21123"/>
    <cellStyle name="Normal 10 5 2 5" xfId="21124"/>
    <cellStyle name="Normal 10 5 2 5 2" xfId="21125"/>
    <cellStyle name="Normal 10 5 2 5 3" xfId="21126"/>
    <cellStyle name="Normal 10 5 2 5 4" xfId="21127"/>
    <cellStyle name="Normal 10 5 2 6" xfId="21128"/>
    <cellStyle name="Normal 10 5 2 7" xfId="21129"/>
    <cellStyle name="Normal 10 5 2 8" xfId="21130"/>
    <cellStyle name="Normal 10 5 3" xfId="1270"/>
    <cellStyle name="Normal 10 5 3 2" xfId="1271"/>
    <cellStyle name="Normal 10 5 3 2 2" xfId="21131"/>
    <cellStyle name="Normal 10 5 3 2 2 2" xfId="21132"/>
    <cellStyle name="Normal 10 5 3 2 2 3" xfId="21133"/>
    <cellStyle name="Normal 10 5 3 2 2 4" xfId="21134"/>
    <cellStyle name="Normal 10 5 3 2 3" xfId="21135"/>
    <cellStyle name="Normal 10 5 3 2 4" xfId="21136"/>
    <cellStyle name="Normal 10 5 3 2 5" xfId="21137"/>
    <cellStyle name="Normal 10 5 3 3" xfId="1272"/>
    <cellStyle name="Normal 10 5 3 3 2" xfId="21138"/>
    <cellStyle name="Normal 10 5 3 3 2 2" xfId="21139"/>
    <cellStyle name="Normal 10 5 3 3 2 3" xfId="21140"/>
    <cellStyle name="Normal 10 5 3 3 2 4" xfId="21141"/>
    <cellStyle name="Normal 10 5 3 3 3" xfId="21142"/>
    <cellStyle name="Normal 10 5 3 3 4" xfId="21143"/>
    <cellStyle name="Normal 10 5 3 3 5" xfId="21144"/>
    <cellStyle name="Normal 10 5 3 4" xfId="21145"/>
    <cellStyle name="Normal 10 5 3 4 2" xfId="21146"/>
    <cellStyle name="Normal 10 5 3 4 3" xfId="21147"/>
    <cellStyle name="Normal 10 5 3 4 4" xfId="21148"/>
    <cellStyle name="Normal 10 5 3 5" xfId="21149"/>
    <cellStyle name="Normal 10 5 3 6" xfId="21150"/>
    <cellStyle name="Normal 10 5 3 7" xfId="21151"/>
    <cellStyle name="Normal 10 5 4" xfId="1273"/>
    <cellStyle name="Normal 10 5 4 2" xfId="21152"/>
    <cellStyle name="Normal 10 5 4 2 2" xfId="21153"/>
    <cellStyle name="Normal 10 5 4 2 3" xfId="21154"/>
    <cellStyle name="Normal 10 5 4 2 4" xfId="21155"/>
    <cellStyle name="Normal 10 5 4 3" xfId="21156"/>
    <cellStyle name="Normal 10 5 4 4" xfId="21157"/>
    <cellStyle name="Normal 10 5 4 5" xfId="21158"/>
    <cellStyle name="Normal 10 5 5" xfId="1274"/>
    <cellStyle name="Normal 10 5 5 2" xfId="21159"/>
    <cellStyle name="Normal 10 5 5 2 2" xfId="21160"/>
    <cellStyle name="Normal 10 5 5 2 3" xfId="21161"/>
    <cellStyle name="Normal 10 5 5 2 4" xfId="21162"/>
    <cellStyle name="Normal 10 5 5 3" xfId="21163"/>
    <cellStyle name="Normal 10 5 5 4" xfId="21164"/>
    <cellStyle name="Normal 10 5 5 5" xfId="21165"/>
    <cellStyle name="Normal 10 5 6" xfId="21166"/>
    <cellStyle name="Normal 10 5 6 2" xfId="21167"/>
    <cellStyle name="Normal 10 5 6 3" xfId="21168"/>
    <cellStyle name="Normal 10 5 6 4" xfId="21169"/>
    <cellStyle name="Normal 10 5 7" xfId="21170"/>
    <cellStyle name="Normal 10 5 8" xfId="21171"/>
    <cellStyle name="Normal 10 5 9" xfId="21172"/>
    <cellStyle name="Normal 10 6" xfId="1275"/>
    <cellStyle name="Normal 10 6 2" xfId="1276"/>
    <cellStyle name="Normal 10 6 2 2" xfId="1277"/>
    <cellStyle name="Normal 10 6 2 2 2" xfId="1278"/>
    <cellStyle name="Normal 10 6 2 2 2 2" xfId="21173"/>
    <cellStyle name="Normal 10 6 2 2 2 2 2" xfId="21174"/>
    <cellStyle name="Normal 10 6 2 2 2 2 3" xfId="21175"/>
    <cellStyle name="Normal 10 6 2 2 2 2 4" xfId="21176"/>
    <cellStyle name="Normal 10 6 2 2 2 3" xfId="21177"/>
    <cellStyle name="Normal 10 6 2 2 2 4" xfId="21178"/>
    <cellStyle name="Normal 10 6 2 2 2 5" xfId="21179"/>
    <cellStyle name="Normal 10 6 2 2 3" xfId="1279"/>
    <cellStyle name="Normal 10 6 2 2 3 2" xfId="21180"/>
    <cellStyle name="Normal 10 6 2 2 3 2 2" xfId="21181"/>
    <cellStyle name="Normal 10 6 2 2 3 2 3" xfId="21182"/>
    <cellStyle name="Normal 10 6 2 2 3 2 4" xfId="21183"/>
    <cellStyle name="Normal 10 6 2 2 3 3" xfId="21184"/>
    <cellStyle name="Normal 10 6 2 2 3 4" xfId="21185"/>
    <cellStyle name="Normal 10 6 2 2 3 5" xfId="21186"/>
    <cellStyle name="Normal 10 6 2 2 4" xfId="21187"/>
    <cellStyle name="Normal 10 6 2 2 4 2" xfId="21188"/>
    <cellStyle name="Normal 10 6 2 2 4 3" xfId="21189"/>
    <cellStyle name="Normal 10 6 2 2 4 4" xfId="21190"/>
    <cellStyle name="Normal 10 6 2 2 5" xfId="21191"/>
    <cellStyle name="Normal 10 6 2 2 6" xfId="21192"/>
    <cellStyle name="Normal 10 6 2 2 7" xfId="21193"/>
    <cellStyle name="Normal 10 6 2 3" xfId="1280"/>
    <cellStyle name="Normal 10 6 2 3 2" xfId="21194"/>
    <cellStyle name="Normal 10 6 2 3 2 2" xfId="21195"/>
    <cellStyle name="Normal 10 6 2 3 2 3" xfId="21196"/>
    <cellStyle name="Normal 10 6 2 3 2 4" xfId="21197"/>
    <cellStyle name="Normal 10 6 2 3 3" xfId="21198"/>
    <cellStyle name="Normal 10 6 2 3 4" xfId="21199"/>
    <cellStyle name="Normal 10 6 2 3 5" xfId="21200"/>
    <cellStyle name="Normal 10 6 2 4" xfId="1281"/>
    <cellStyle name="Normal 10 6 2 4 2" xfId="21201"/>
    <cellStyle name="Normal 10 6 2 4 2 2" xfId="21202"/>
    <cellStyle name="Normal 10 6 2 4 2 3" xfId="21203"/>
    <cellStyle name="Normal 10 6 2 4 2 4" xfId="21204"/>
    <cellStyle name="Normal 10 6 2 4 3" xfId="21205"/>
    <cellStyle name="Normal 10 6 2 4 4" xfId="21206"/>
    <cellStyle name="Normal 10 6 2 4 5" xfId="21207"/>
    <cellStyle name="Normal 10 6 2 5" xfId="21208"/>
    <cellStyle name="Normal 10 6 2 5 2" xfId="21209"/>
    <cellStyle name="Normal 10 6 2 5 3" xfId="21210"/>
    <cellStyle name="Normal 10 6 2 5 4" xfId="21211"/>
    <cellStyle name="Normal 10 6 2 6" xfId="21212"/>
    <cellStyle name="Normal 10 6 2 7" xfId="21213"/>
    <cellStyle name="Normal 10 6 2 8" xfId="21214"/>
    <cellStyle name="Normal 10 6 3" xfId="1282"/>
    <cellStyle name="Normal 10 6 3 2" xfId="1283"/>
    <cellStyle name="Normal 10 6 3 2 2" xfId="21215"/>
    <cellStyle name="Normal 10 6 3 2 2 2" xfId="21216"/>
    <cellStyle name="Normal 10 6 3 2 2 3" xfId="21217"/>
    <cellStyle name="Normal 10 6 3 2 2 4" xfId="21218"/>
    <cellStyle name="Normal 10 6 3 2 3" xfId="21219"/>
    <cellStyle name="Normal 10 6 3 2 4" xfId="21220"/>
    <cellStyle name="Normal 10 6 3 2 5" xfId="21221"/>
    <cellStyle name="Normal 10 6 3 3" xfId="1284"/>
    <cellStyle name="Normal 10 6 3 3 2" xfId="21222"/>
    <cellStyle name="Normal 10 6 3 3 2 2" xfId="21223"/>
    <cellStyle name="Normal 10 6 3 3 2 3" xfId="21224"/>
    <cellStyle name="Normal 10 6 3 3 2 4" xfId="21225"/>
    <cellStyle name="Normal 10 6 3 3 3" xfId="21226"/>
    <cellStyle name="Normal 10 6 3 3 4" xfId="21227"/>
    <cellStyle name="Normal 10 6 3 3 5" xfId="21228"/>
    <cellStyle name="Normal 10 6 3 4" xfId="21229"/>
    <cellStyle name="Normal 10 6 3 4 2" xfId="21230"/>
    <cellStyle name="Normal 10 6 3 4 3" xfId="21231"/>
    <cellStyle name="Normal 10 6 3 4 4" xfId="21232"/>
    <cellStyle name="Normal 10 6 3 5" xfId="21233"/>
    <cellStyle name="Normal 10 6 3 6" xfId="21234"/>
    <cellStyle name="Normal 10 6 3 7" xfId="21235"/>
    <cellStyle name="Normal 10 6 4" xfId="1285"/>
    <cellStyle name="Normal 10 6 4 2" xfId="21236"/>
    <cellStyle name="Normal 10 6 4 2 2" xfId="21237"/>
    <cellStyle name="Normal 10 6 4 2 3" xfId="21238"/>
    <cellStyle name="Normal 10 6 4 2 4" xfId="21239"/>
    <cellStyle name="Normal 10 6 4 3" xfId="21240"/>
    <cellStyle name="Normal 10 6 4 4" xfId="21241"/>
    <cellStyle name="Normal 10 6 4 5" xfId="21242"/>
    <cellStyle name="Normal 10 6 5" xfId="1286"/>
    <cellStyle name="Normal 10 6 5 2" xfId="21243"/>
    <cellStyle name="Normal 10 6 5 2 2" xfId="21244"/>
    <cellStyle name="Normal 10 6 5 2 3" xfId="21245"/>
    <cellStyle name="Normal 10 6 5 2 4" xfId="21246"/>
    <cellStyle name="Normal 10 6 5 3" xfId="21247"/>
    <cellStyle name="Normal 10 6 5 4" xfId="21248"/>
    <cellStyle name="Normal 10 6 5 5" xfId="21249"/>
    <cellStyle name="Normal 10 6 6" xfId="21250"/>
    <cellStyle name="Normal 10 6 6 2" xfId="21251"/>
    <cellStyle name="Normal 10 6 6 3" xfId="21252"/>
    <cellStyle name="Normal 10 6 6 4" xfId="21253"/>
    <cellStyle name="Normal 10 6 7" xfId="21254"/>
    <cellStyle name="Normal 10 6 8" xfId="21255"/>
    <cellStyle name="Normal 10 6 9" xfId="21256"/>
    <cellStyle name="Normal 10 7" xfId="1287"/>
    <cellStyle name="Normal 10 7 2" xfId="1288"/>
    <cellStyle name="Normal 10 7 2 2" xfId="1289"/>
    <cellStyle name="Normal 10 7 2 2 2" xfId="1290"/>
    <cellStyle name="Normal 10 7 2 2 2 2" xfId="21257"/>
    <cellStyle name="Normal 10 7 2 2 2 2 2" xfId="21258"/>
    <cellStyle name="Normal 10 7 2 2 2 2 3" xfId="21259"/>
    <cellStyle name="Normal 10 7 2 2 2 2 4" xfId="21260"/>
    <cellStyle name="Normal 10 7 2 2 2 3" xfId="21261"/>
    <cellStyle name="Normal 10 7 2 2 2 4" xfId="21262"/>
    <cellStyle name="Normal 10 7 2 2 2 5" xfId="21263"/>
    <cellStyle name="Normal 10 7 2 2 3" xfId="1291"/>
    <cellStyle name="Normal 10 7 2 2 3 2" xfId="21264"/>
    <cellStyle name="Normal 10 7 2 2 3 2 2" xfId="21265"/>
    <cellStyle name="Normal 10 7 2 2 3 2 3" xfId="21266"/>
    <cellStyle name="Normal 10 7 2 2 3 2 4" xfId="21267"/>
    <cellStyle name="Normal 10 7 2 2 3 3" xfId="21268"/>
    <cellStyle name="Normal 10 7 2 2 3 4" xfId="21269"/>
    <cellStyle name="Normal 10 7 2 2 3 5" xfId="21270"/>
    <cellStyle name="Normal 10 7 2 2 4" xfId="21271"/>
    <cellStyle name="Normal 10 7 2 2 4 2" xfId="21272"/>
    <cellStyle name="Normal 10 7 2 2 4 3" xfId="21273"/>
    <cellStyle name="Normal 10 7 2 2 4 4" xfId="21274"/>
    <cellStyle name="Normal 10 7 2 2 5" xfId="21275"/>
    <cellStyle name="Normal 10 7 2 2 6" xfId="21276"/>
    <cellStyle name="Normal 10 7 2 2 7" xfId="21277"/>
    <cellStyle name="Normal 10 7 2 3" xfId="1292"/>
    <cellStyle name="Normal 10 7 2 3 2" xfId="21278"/>
    <cellStyle name="Normal 10 7 2 3 2 2" xfId="21279"/>
    <cellStyle name="Normal 10 7 2 3 2 3" xfId="21280"/>
    <cellStyle name="Normal 10 7 2 3 2 4" xfId="21281"/>
    <cellStyle name="Normal 10 7 2 3 3" xfId="21282"/>
    <cellStyle name="Normal 10 7 2 3 4" xfId="21283"/>
    <cellStyle name="Normal 10 7 2 3 5" xfId="21284"/>
    <cellStyle name="Normal 10 7 2 4" xfId="1293"/>
    <cellStyle name="Normal 10 7 2 4 2" xfId="21285"/>
    <cellStyle name="Normal 10 7 2 4 2 2" xfId="21286"/>
    <cellStyle name="Normal 10 7 2 4 2 3" xfId="21287"/>
    <cellStyle name="Normal 10 7 2 4 2 4" xfId="21288"/>
    <cellStyle name="Normal 10 7 2 4 3" xfId="21289"/>
    <cellStyle name="Normal 10 7 2 4 4" xfId="21290"/>
    <cellStyle name="Normal 10 7 2 4 5" xfId="21291"/>
    <cellStyle name="Normal 10 7 2 5" xfId="21292"/>
    <cellStyle name="Normal 10 7 2 5 2" xfId="21293"/>
    <cellStyle name="Normal 10 7 2 5 3" xfId="21294"/>
    <cellStyle name="Normal 10 7 2 5 4" xfId="21295"/>
    <cellStyle name="Normal 10 7 2 6" xfId="21296"/>
    <cellStyle name="Normal 10 7 2 7" xfId="21297"/>
    <cellStyle name="Normal 10 7 2 8" xfId="21298"/>
    <cellStyle name="Normal 10 7 3" xfId="1294"/>
    <cellStyle name="Normal 10 7 3 2" xfId="1295"/>
    <cellStyle name="Normal 10 7 3 2 2" xfId="21299"/>
    <cellStyle name="Normal 10 7 3 2 2 2" xfId="21300"/>
    <cellStyle name="Normal 10 7 3 2 2 3" xfId="21301"/>
    <cellStyle name="Normal 10 7 3 2 2 4" xfId="21302"/>
    <cellStyle name="Normal 10 7 3 2 3" xfId="21303"/>
    <cellStyle name="Normal 10 7 3 2 4" xfId="21304"/>
    <cellStyle name="Normal 10 7 3 2 5" xfId="21305"/>
    <cellStyle name="Normal 10 7 3 3" xfId="1296"/>
    <cellStyle name="Normal 10 7 3 3 2" xfId="21306"/>
    <cellStyle name="Normal 10 7 3 3 2 2" xfId="21307"/>
    <cellStyle name="Normal 10 7 3 3 2 3" xfId="21308"/>
    <cellStyle name="Normal 10 7 3 3 2 4" xfId="21309"/>
    <cellStyle name="Normal 10 7 3 3 3" xfId="21310"/>
    <cellStyle name="Normal 10 7 3 3 4" xfId="21311"/>
    <cellStyle name="Normal 10 7 3 3 5" xfId="21312"/>
    <cellStyle name="Normal 10 7 3 4" xfId="21313"/>
    <cellStyle name="Normal 10 7 3 4 2" xfId="21314"/>
    <cellStyle name="Normal 10 7 3 4 3" xfId="21315"/>
    <cellStyle name="Normal 10 7 3 4 4" xfId="21316"/>
    <cellStyle name="Normal 10 7 3 5" xfId="21317"/>
    <cellStyle name="Normal 10 7 3 6" xfId="21318"/>
    <cellStyle name="Normal 10 7 3 7" xfId="21319"/>
    <cellStyle name="Normal 10 7 4" xfId="1297"/>
    <cellStyle name="Normal 10 7 4 2" xfId="21320"/>
    <cellStyle name="Normal 10 7 4 2 2" xfId="21321"/>
    <cellStyle name="Normal 10 7 4 2 3" xfId="21322"/>
    <cellStyle name="Normal 10 7 4 2 4" xfId="21323"/>
    <cellStyle name="Normal 10 7 4 3" xfId="21324"/>
    <cellStyle name="Normal 10 7 4 4" xfId="21325"/>
    <cellStyle name="Normal 10 7 4 5" xfId="21326"/>
    <cellStyle name="Normal 10 7 5" xfId="1298"/>
    <cellStyle name="Normal 10 7 5 2" xfId="21327"/>
    <cellStyle name="Normal 10 7 5 2 2" xfId="21328"/>
    <cellStyle name="Normal 10 7 5 2 3" xfId="21329"/>
    <cellStyle name="Normal 10 7 5 2 4" xfId="21330"/>
    <cellStyle name="Normal 10 7 5 3" xfId="21331"/>
    <cellStyle name="Normal 10 7 5 4" xfId="21332"/>
    <cellStyle name="Normal 10 7 5 5" xfId="21333"/>
    <cellStyle name="Normal 10 7 6" xfId="21334"/>
    <cellStyle name="Normal 10 7 6 2" xfId="21335"/>
    <cellStyle name="Normal 10 7 6 3" xfId="21336"/>
    <cellStyle name="Normal 10 7 6 4" xfId="21337"/>
    <cellStyle name="Normal 10 7 7" xfId="21338"/>
    <cellStyle name="Normal 10 7 8" xfId="21339"/>
    <cellStyle name="Normal 10 7 9" xfId="21340"/>
    <cellStyle name="Normal 10 8" xfId="1299"/>
    <cellStyle name="Normal 10 8 2" xfId="1300"/>
    <cellStyle name="Normal 10 8 2 2" xfId="1301"/>
    <cellStyle name="Normal 10 8 2 2 2" xfId="1302"/>
    <cellStyle name="Normal 10 8 2 2 2 2" xfId="21341"/>
    <cellStyle name="Normal 10 8 2 2 2 2 2" xfId="21342"/>
    <cellStyle name="Normal 10 8 2 2 2 2 3" xfId="21343"/>
    <cellStyle name="Normal 10 8 2 2 2 2 4" xfId="21344"/>
    <cellStyle name="Normal 10 8 2 2 2 3" xfId="21345"/>
    <cellStyle name="Normal 10 8 2 2 2 4" xfId="21346"/>
    <cellStyle name="Normal 10 8 2 2 2 5" xfId="21347"/>
    <cellStyle name="Normal 10 8 2 2 3" xfId="1303"/>
    <cellStyle name="Normal 10 8 2 2 3 2" xfId="21348"/>
    <cellStyle name="Normal 10 8 2 2 3 2 2" xfId="21349"/>
    <cellStyle name="Normal 10 8 2 2 3 2 3" xfId="21350"/>
    <cellStyle name="Normal 10 8 2 2 3 2 4" xfId="21351"/>
    <cellStyle name="Normal 10 8 2 2 3 3" xfId="21352"/>
    <cellStyle name="Normal 10 8 2 2 3 4" xfId="21353"/>
    <cellStyle name="Normal 10 8 2 2 3 5" xfId="21354"/>
    <cellStyle name="Normal 10 8 2 2 4" xfId="21355"/>
    <cellStyle name="Normal 10 8 2 2 4 2" xfId="21356"/>
    <cellStyle name="Normal 10 8 2 2 4 3" xfId="21357"/>
    <cellStyle name="Normal 10 8 2 2 4 4" xfId="21358"/>
    <cellStyle name="Normal 10 8 2 2 5" xfId="21359"/>
    <cellStyle name="Normal 10 8 2 2 6" xfId="21360"/>
    <cellStyle name="Normal 10 8 2 2 7" xfId="21361"/>
    <cellStyle name="Normal 10 8 2 3" xfId="1304"/>
    <cellStyle name="Normal 10 8 2 3 2" xfId="21362"/>
    <cellStyle name="Normal 10 8 2 3 2 2" xfId="21363"/>
    <cellStyle name="Normal 10 8 2 3 2 3" xfId="21364"/>
    <cellStyle name="Normal 10 8 2 3 2 4" xfId="21365"/>
    <cellStyle name="Normal 10 8 2 3 3" xfId="21366"/>
    <cellStyle name="Normal 10 8 2 3 4" xfId="21367"/>
    <cellStyle name="Normal 10 8 2 3 5" xfId="21368"/>
    <cellStyle name="Normal 10 8 2 4" xfId="1305"/>
    <cellStyle name="Normal 10 8 2 4 2" xfId="21369"/>
    <cellStyle name="Normal 10 8 2 4 2 2" xfId="21370"/>
    <cellStyle name="Normal 10 8 2 4 2 3" xfId="21371"/>
    <cellStyle name="Normal 10 8 2 4 2 4" xfId="21372"/>
    <cellStyle name="Normal 10 8 2 4 3" xfId="21373"/>
    <cellStyle name="Normal 10 8 2 4 4" xfId="21374"/>
    <cellStyle name="Normal 10 8 2 4 5" xfId="21375"/>
    <cellStyle name="Normal 10 8 2 5" xfId="21376"/>
    <cellStyle name="Normal 10 8 2 5 2" xfId="21377"/>
    <cellStyle name="Normal 10 8 2 5 3" xfId="21378"/>
    <cellStyle name="Normal 10 8 2 5 4" xfId="21379"/>
    <cellStyle name="Normal 10 8 2 6" xfId="21380"/>
    <cellStyle name="Normal 10 8 2 7" xfId="21381"/>
    <cellStyle name="Normal 10 8 2 8" xfId="21382"/>
    <cellStyle name="Normal 10 8 3" xfId="1306"/>
    <cellStyle name="Normal 10 8 3 2" xfId="1307"/>
    <cellStyle name="Normal 10 8 3 2 2" xfId="21383"/>
    <cellStyle name="Normal 10 8 3 2 2 2" xfId="21384"/>
    <cellStyle name="Normal 10 8 3 2 2 3" xfId="21385"/>
    <cellStyle name="Normal 10 8 3 2 2 4" xfId="21386"/>
    <cellStyle name="Normal 10 8 3 2 3" xfId="21387"/>
    <cellStyle name="Normal 10 8 3 2 4" xfId="21388"/>
    <cellStyle name="Normal 10 8 3 2 5" xfId="21389"/>
    <cellStyle name="Normal 10 8 3 3" xfId="1308"/>
    <cellStyle name="Normal 10 8 3 3 2" xfId="21390"/>
    <cellStyle name="Normal 10 8 3 3 2 2" xfId="21391"/>
    <cellStyle name="Normal 10 8 3 3 2 3" xfId="21392"/>
    <cellStyle name="Normal 10 8 3 3 2 4" xfId="21393"/>
    <cellStyle name="Normal 10 8 3 3 3" xfId="21394"/>
    <cellStyle name="Normal 10 8 3 3 4" xfId="21395"/>
    <cellStyle name="Normal 10 8 3 3 5" xfId="21396"/>
    <cellStyle name="Normal 10 8 3 4" xfId="21397"/>
    <cellStyle name="Normal 10 8 3 4 2" xfId="21398"/>
    <cellStyle name="Normal 10 8 3 4 3" xfId="21399"/>
    <cellStyle name="Normal 10 8 3 4 4" xfId="21400"/>
    <cellStyle name="Normal 10 8 3 5" xfId="21401"/>
    <cellStyle name="Normal 10 8 3 6" xfId="21402"/>
    <cellStyle name="Normal 10 8 3 7" xfId="21403"/>
    <cellStyle name="Normal 10 8 4" xfId="1309"/>
    <cellStyle name="Normal 10 8 4 2" xfId="21404"/>
    <cellStyle name="Normal 10 8 4 2 2" xfId="21405"/>
    <cellStyle name="Normal 10 8 4 2 3" xfId="21406"/>
    <cellStyle name="Normal 10 8 4 2 4" xfId="21407"/>
    <cellStyle name="Normal 10 8 4 3" xfId="21408"/>
    <cellStyle name="Normal 10 8 4 4" xfId="21409"/>
    <cellStyle name="Normal 10 8 4 5" xfId="21410"/>
    <cellStyle name="Normal 10 8 5" xfId="1310"/>
    <cellStyle name="Normal 10 8 5 2" xfId="21411"/>
    <cellStyle name="Normal 10 8 5 2 2" xfId="21412"/>
    <cellStyle name="Normal 10 8 5 2 3" xfId="21413"/>
    <cellStyle name="Normal 10 8 5 2 4" xfId="21414"/>
    <cellStyle name="Normal 10 8 5 3" xfId="21415"/>
    <cellStyle name="Normal 10 8 5 4" xfId="21416"/>
    <cellStyle name="Normal 10 8 5 5" xfId="21417"/>
    <cellStyle name="Normal 10 8 6" xfId="21418"/>
    <cellStyle name="Normal 10 8 6 2" xfId="21419"/>
    <cellStyle name="Normal 10 8 6 3" xfId="21420"/>
    <cellStyle name="Normal 10 8 6 4" xfId="21421"/>
    <cellStyle name="Normal 10 8 7" xfId="21422"/>
    <cellStyle name="Normal 10 8 8" xfId="21423"/>
    <cellStyle name="Normal 10 8 9" xfId="21424"/>
    <cellStyle name="Normal 10 9" xfId="1311"/>
    <cellStyle name="Normal 10 9 2" xfId="1312"/>
    <cellStyle name="Normal 10 9 2 2" xfId="1313"/>
    <cellStyle name="Normal 10 9 2 2 2" xfId="1314"/>
    <cellStyle name="Normal 10 9 2 2 2 2" xfId="21425"/>
    <cellStyle name="Normal 10 9 2 2 2 2 2" xfId="21426"/>
    <cellStyle name="Normal 10 9 2 2 2 2 3" xfId="21427"/>
    <cellStyle name="Normal 10 9 2 2 2 2 4" xfId="21428"/>
    <cellStyle name="Normal 10 9 2 2 2 3" xfId="21429"/>
    <cellStyle name="Normal 10 9 2 2 2 4" xfId="21430"/>
    <cellStyle name="Normal 10 9 2 2 2 5" xfId="21431"/>
    <cellStyle name="Normal 10 9 2 2 3" xfId="1315"/>
    <cellStyle name="Normal 10 9 2 2 3 2" xfId="21432"/>
    <cellStyle name="Normal 10 9 2 2 3 2 2" xfId="21433"/>
    <cellStyle name="Normal 10 9 2 2 3 2 3" xfId="21434"/>
    <cellStyle name="Normal 10 9 2 2 3 2 4" xfId="21435"/>
    <cellStyle name="Normal 10 9 2 2 3 3" xfId="21436"/>
    <cellStyle name="Normal 10 9 2 2 3 4" xfId="21437"/>
    <cellStyle name="Normal 10 9 2 2 3 5" xfId="21438"/>
    <cellStyle name="Normal 10 9 2 2 4" xfId="21439"/>
    <cellStyle name="Normal 10 9 2 2 4 2" xfId="21440"/>
    <cellStyle name="Normal 10 9 2 2 4 3" xfId="21441"/>
    <cellStyle name="Normal 10 9 2 2 4 4" xfId="21442"/>
    <cellStyle name="Normal 10 9 2 2 5" xfId="21443"/>
    <cellStyle name="Normal 10 9 2 2 6" xfId="21444"/>
    <cellStyle name="Normal 10 9 2 2 7" xfId="21445"/>
    <cellStyle name="Normal 10 9 2 3" xfId="1316"/>
    <cellStyle name="Normal 10 9 2 3 2" xfId="21446"/>
    <cellStyle name="Normal 10 9 2 3 2 2" xfId="21447"/>
    <cellStyle name="Normal 10 9 2 3 2 3" xfId="21448"/>
    <cellStyle name="Normal 10 9 2 3 2 4" xfId="21449"/>
    <cellStyle name="Normal 10 9 2 3 3" xfId="21450"/>
    <cellStyle name="Normal 10 9 2 3 4" xfId="21451"/>
    <cellStyle name="Normal 10 9 2 3 5" xfId="21452"/>
    <cellStyle name="Normal 10 9 2 4" xfId="1317"/>
    <cellStyle name="Normal 10 9 2 4 2" xfId="21453"/>
    <cellStyle name="Normal 10 9 2 4 2 2" xfId="21454"/>
    <cellStyle name="Normal 10 9 2 4 2 3" xfId="21455"/>
    <cellStyle name="Normal 10 9 2 4 2 4" xfId="21456"/>
    <cellStyle name="Normal 10 9 2 4 3" xfId="21457"/>
    <cellStyle name="Normal 10 9 2 4 4" xfId="21458"/>
    <cellStyle name="Normal 10 9 2 4 5" xfId="21459"/>
    <cellStyle name="Normal 10 9 2 5" xfId="21460"/>
    <cellStyle name="Normal 10 9 2 5 2" xfId="21461"/>
    <cellStyle name="Normal 10 9 2 5 3" xfId="21462"/>
    <cellStyle name="Normal 10 9 2 5 4" xfId="21463"/>
    <cellStyle name="Normal 10 9 2 6" xfId="21464"/>
    <cellStyle name="Normal 10 9 2 7" xfId="21465"/>
    <cellStyle name="Normal 10 9 2 8" xfId="21466"/>
    <cellStyle name="Normal 10 9 3" xfId="1318"/>
    <cellStyle name="Normal 10 9 3 2" xfId="1319"/>
    <cellStyle name="Normal 10 9 3 2 2" xfId="21467"/>
    <cellStyle name="Normal 10 9 3 2 2 2" xfId="21468"/>
    <cellStyle name="Normal 10 9 3 2 2 3" xfId="21469"/>
    <cellStyle name="Normal 10 9 3 2 2 4" xfId="21470"/>
    <cellStyle name="Normal 10 9 3 2 3" xfId="21471"/>
    <cellStyle name="Normal 10 9 3 2 4" xfId="21472"/>
    <cellStyle name="Normal 10 9 3 2 5" xfId="21473"/>
    <cellStyle name="Normal 10 9 3 3" xfId="1320"/>
    <cellStyle name="Normal 10 9 3 3 2" xfId="21474"/>
    <cellStyle name="Normal 10 9 3 3 2 2" xfId="21475"/>
    <cellStyle name="Normal 10 9 3 3 2 3" xfId="21476"/>
    <cellStyle name="Normal 10 9 3 3 2 4" xfId="21477"/>
    <cellStyle name="Normal 10 9 3 3 3" xfId="21478"/>
    <cellStyle name="Normal 10 9 3 3 4" xfId="21479"/>
    <cellStyle name="Normal 10 9 3 3 5" xfId="21480"/>
    <cellStyle name="Normal 10 9 3 4" xfId="21481"/>
    <cellStyle name="Normal 10 9 3 4 2" xfId="21482"/>
    <cellStyle name="Normal 10 9 3 4 3" xfId="21483"/>
    <cellStyle name="Normal 10 9 3 4 4" xfId="21484"/>
    <cellStyle name="Normal 10 9 3 5" xfId="21485"/>
    <cellStyle name="Normal 10 9 3 6" xfId="21486"/>
    <cellStyle name="Normal 10 9 3 7" xfId="21487"/>
    <cellStyle name="Normal 10 9 4" xfId="1321"/>
    <cellStyle name="Normal 10 9 4 2" xfId="21488"/>
    <cellStyle name="Normal 10 9 4 2 2" xfId="21489"/>
    <cellStyle name="Normal 10 9 4 2 3" xfId="21490"/>
    <cellStyle name="Normal 10 9 4 2 4" xfId="21491"/>
    <cellStyle name="Normal 10 9 4 3" xfId="21492"/>
    <cellStyle name="Normal 10 9 4 4" xfId="21493"/>
    <cellStyle name="Normal 10 9 4 5" xfId="21494"/>
    <cellStyle name="Normal 10 9 5" xfId="1322"/>
    <cellStyle name="Normal 10 9 5 2" xfId="21495"/>
    <cellStyle name="Normal 10 9 5 2 2" xfId="21496"/>
    <cellStyle name="Normal 10 9 5 2 3" xfId="21497"/>
    <cellStyle name="Normal 10 9 5 2 4" xfId="21498"/>
    <cellStyle name="Normal 10 9 5 3" xfId="21499"/>
    <cellStyle name="Normal 10 9 5 4" xfId="21500"/>
    <cellStyle name="Normal 10 9 5 5" xfId="21501"/>
    <cellStyle name="Normal 10 9 6" xfId="21502"/>
    <cellStyle name="Normal 10 9 6 2" xfId="21503"/>
    <cellStyle name="Normal 10 9 6 3" xfId="21504"/>
    <cellStyle name="Normal 10 9 6 4" xfId="21505"/>
    <cellStyle name="Normal 10 9 7" xfId="21506"/>
    <cellStyle name="Normal 10 9 8" xfId="21507"/>
    <cellStyle name="Normal 10 9 9" xfId="21508"/>
    <cellStyle name="Normal 100" xfId="40309"/>
    <cellStyle name="Normal 100 2" xfId="40310"/>
    <cellStyle name="Normal 101" xfId="40311"/>
    <cellStyle name="Normal 102" xfId="40312"/>
    <cellStyle name="Normal 103" xfId="40313"/>
    <cellStyle name="Normal 104" xfId="40314"/>
    <cellStyle name="Normal 105" xfId="40315"/>
    <cellStyle name="Normal 106" xfId="1323"/>
    <cellStyle name="Normal 106 10" xfId="21509"/>
    <cellStyle name="Normal 106 2" xfId="1324"/>
    <cellStyle name="Normal 106 2 2" xfId="1325"/>
    <cellStyle name="Normal 106 2 2 2" xfId="1326"/>
    <cellStyle name="Normal 106 2 2 2 2" xfId="1327"/>
    <cellStyle name="Normal 106 2 2 2 2 2" xfId="21510"/>
    <cellStyle name="Normal 106 2 2 2 2 2 2" xfId="21511"/>
    <cellStyle name="Normal 106 2 2 2 2 2 3" xfId="21512"/>
    <cellStyle name="Normal 106 2 2 2 2 2 4" xfId="21513"/>
    <cellStyle name="Normal 106 2 2 2 2 3" xfId="21514"/>
    <cellStyle name="Normal 106 2 2 2 2 4" xfId="21515"/>
    <cellStyle name="Normal 106 2 2 2 2 5" xfId="21516"/>
    <cellStyle name="Normal 106 2 2 2 3" xfId="1328"/>
    <cellStyle name="Normal 106 2 2 2 3 2" xfId="21517"/>
    <cellStyle name="Normal 106 2 2 2 3 2 2" xfId="21518"/>
    <cellStyle name="Normal 106 2 2 2 3 2 3" xfId="21519"/>
    <cellStyle name="Normal 106 2 2 2 3 2 4" xfId="21520"/>
    <cellStyle name="Normal 106 2 2 2 3 3" xfId="21521"/>
    <cellStyle name="Normal 106 2 2 2 3 4" xfId="21522"/>
    <cellStyle name="Normal 106 2 2 2 3 5" xfId="21523"/>
    <cellStyle name="Normal 106 2 2 2 4" xfId="21524"/>
    <cellStyle name="Normal 106 2 2 2 4 2" xfId="21525"/>
    <cellStyle name="Normal 106 2 2 2 4 3" xfId="21526"/>
    <cellStyle name="Normal 106 2 2 2 4 4" xfId="21527"/>
    <cellStyle name="Normal 106 2 2 2 5" xfId="21528"/>
    <cellStyle name="Normal 106 2 2 2 6" xfId="21529"/>
    <cellStyle name="Normal 106 2 2 2 7" xfId="21530"/>
    <cellStyle name="Normal 106 2 2 3" xfId="1329"/>
    <cellStyle name="Normal 106 2 2 3 2" xfId="21531"/>
    <cellStyle name="Normal 106 2 2 3 2 2" xfId="21532"/>
    <cellStyle name="Normal 106 2 2 3 2 3" xfId="21533"/>
    <cellStyle name="Normal 106 2 2 3 2 4" xfId="21534"/>
    <cellStyle name="Normal 106 2 2 3 3" xfId="21535"/>
    <cellStyle name="Normal 106 2 2 3 4" xfId="21536"/>
    <cellStyle name="Normal 106 2 2 3 5" xfId="21537"/>
    <cellStyle name="Normal 106 2 2 4" xfId="1330"/>
    <cellStyle name="Normal 106 2 2 4 2" xfId="21538"/>
    <cellStyle name="Normal 106 2 2 4 2 2" xfId="21539"/>
    <cellStyle name="Normal 106 2 2 4 2 3" xfId="21540"/>
    <cellStyle name="Normal 106 2 2 4 2 4" xfId="21541"/>
    <cellStyle name="Normal 106 2 2 4 3" xfId="21542"/>
    <cellStyle name="Normal 106 2 2 4 4" xfId="21543"/>
    <cellStyle name="Normal 106 2 2 4 5" xfId="21544"/>
    <cellStyle name="Normal 106 2 2 5" xfId="21545"/>
    <cellStyle name="Normal 106 2 2 5 2" xfId="21546"/>
    <cellStyle name="Normal 106 2 2 5 3" xfId="21547"/>
    <cellStyle name="Normal 106 2 2 5 4" xfId="21548"/>
    <cellStyle name="Normal 106 2 2 6" xfId="21549"/>
    <cellStyle name="Normal 106 2 2 7" xfId="21550"/>
    <cellStyle name="Normal 106 2 2 8" xfId="21551"/>
    <cellStyle name="Normal 106 2 3" xfId="1331"/>
    <cellStyle name="Normal 106 2 3 2" xfId="1332"/>
    <cellStyle name="Normal 106 2 3 2 2" xfId="21552"/>
    <cellStyle name="Normal 106 2 3 2 2 2" xfId="21553"/>
    <cellStyle name="Normal 106 2 3 2 2 3" xfId="21554"/>
    <cellStyle name="Normal 106 2 3 2 2 4" xfId="21555"/>
    <cellStyle name="Normal 106 2 3 2 3" xfId="21556"/>
    <cellStyle name="Normal 106 2 3 2 4" xfId="21557"/>
    <cellStyle name="Normal 106 2 3 2 5" xfId="21558"/>
    <cellStyle name="Normal 106 2 3 3" xfId="1333"/>
    <cellStyle name="Normal 106 2 3 3 2" xfId="21559"/>
    <cellStyle name="Normal 106 2 3 3 2 2" xfId="21560"/>
    <cellStyle name="Normal 106 2 3 3 2 3" xfId="21561"/>
    <cellStyle name="Normal 106 2 3 3 2 4" xfId="21562"/>
    <cellStyle name="Normal 106 2 3 3 3" xfId="21563"/>
    <cellStyle name="Normal 106 2 3 3 4" xfId="21564"/>
    <cellStyle name="Normal 106 2 3 3 5" xfId="21565"/>
    <cellStyle name="Normal 106 2 3 4" xfId="21566"/>
    <cellStyle name="Normal 106 2 3 4 2" xfId="21567"/>
    <cellStyle name="Normal 106 2 3 4 3" xfId="21568"/>
    <cellStyle name="Normal 106 2 3 4 4" xfId="21569"/>
    <cellStyle name="Normal 106 2 3 5" xfId="21570"/>
    <cellStyle name="Normal 106 2 3 6" xfId="21571"/>
    <cellStyle name="Normal 106 2 3 7" xfId="21572"/>
    <cellStyle name="Normal 106 2 4" xfId="1334"/>
    <cellStyle name="Normal 106 2 4 2" xfId="21573"/>
    <cellStyle name="Normal 106 2 4 2 2" xfId="21574"/>
    <cellStyle name="Normal 106 2 4 2 3" xfId="21575"/>
    <cellStyle name="Normal 106 2 4 2 4" xfId="21576"/>
    <cellStyle name="Normal 106 2 4 3" xfId="21577"/>
    <cellStyle name="Normal 106 2 4 4" xfId="21578"/>
    <cellStyle name="Normal 106 2 4 5" xfId="21579"/>
    <cellStyle name="Normal 106 2 5" xfId="1335"/>
    <cellStyle name="Normal 106 2 5 2" xfId="21580"/>
    <cellStyle name="Normal 106 2 5 2 2" xfId="21581"/>
    <cellStyle name="Normal 106 2 5 2 3" xfId="21582"/>
    <cellStyle name="Normal 106 2 5 2 4" xfId="21583"/>
    <cellStyle name="Normal 106 2 5 3" xfId="21584"/>
    <cellStyle name="Normal 106 2 5 4" xfId="21585"/>
    <cellStyle name="Normal 106 2 5 5" xfId="21586"/>
    <cellStyle name="Normal 106 2 6" xfId="21587"/>
    <cellStyle name="Normal 106 2 6 2" xfId="21588"/>
    <cellStyle name="Normal 106 2 6 3" xfId="21589"/>
    <cellStyle name="Normal 106 2 6 4" xfId="21590"/>
    <cellStyle name="Normal 106 2 7" xfId="21591"/>
    <cellStyle name="Normal 106 2 8" xfId="21592"/>
    <cellStyle name="Normal 106 2 9" xfId="21593"/>
    <cellStyle name="Normal 106 3" xfId="1336"/>
    <cellStyle name="Normal 106 3 2" xfId="1337"/>
    <cellStyle name="Normal 106 3 2 2" xfId="1338"/>
    <cellStyle name="Normal 106 3 2 2 2" xfId="21594"/>
    <cellStyle name="Normal 106 3 2 2 2 2" xfId="21595"/>
    <cellStyle name="Normal 106 3 2 2 2 3" xfId="21596"/>
    <cellStyle name="Normal 106 3 2 2 2 4" xfId="21597"/>
    <cellStyle name="Normal 106 3 2 2 3" xfId="21598"/>
    <cellStyle name="Normal 106 3 2 2 4" xfId="21599"/>
    <cellStyle name="Normal 106 3 2 2 5" xfId="21600"/>
    <cellStyle name="Normal 106 3 2 3" xfId="1339"/>
    <cellStyle name="Normal 106 3 2 3 2" xfId="21601"/>
    <cellStyle name="Normal 106 3 2 3 2 2" xfId="21602"/>
    <cellStyle name="Normal 106 3 2 3 2 3" xfId="21603"/>
    <cellStyle name="Normal 106 3 2 3 2 4" xfId="21604"/>
    <cellStyle name="Normal 106 3 2 3 3" xfId="21605"/>
    <cellStyle name="Normal 106 3 2 3 4" xfId="21606"/>
    <cellStyle name="Normal 106 3 2 3 5" xfId="21607"/>
    <cellStyle name="Normal 106 3 2 4" xfId="21608"/>
    <cellStyle name="Normal 106 3 2 4 2" xfId="21609"/>
    <cellStyle name="Normal 106 3 2 4 3" xfId="21610"/>
    <cellStyle name="Normal 106 3 2 4 4" xfId="21611"/>
    <cellStyle name="Normal 106 3 2 5" xfId="21612"/>
    <cellStyle name="Normal 106 3 2 6" xfId="21613"/>
    <cellStyle name="Normal 106 3 2 7" xfId="21614"/>
    <cellStyle name="Normal 106 3 3" xfId="1340"/>
    <cellStyle name="Normal 106 3 3 2" xfId="21615"/>
    <cellStyle name="Normal 106 3 3 2 2" xfId="21616"/>
    <cellStyle name="Normal 106 3 3 2 3" xfId="21617"/>
    <cellStyle name="Normal 106 3 3 2 4" xfId="21618"/>
    <cellStyle name="Normal 106 3 3 3" xfId="21619"/>
    <cellStyle name="Normal 106 3 3 4" xfId="21620"/>
    <cellStyle name="Normal 106 3 3 5" xfId="21621"/>
    <cellStyle name="Normal 106 3 4" xfId="1341"/>
    <cellStyle name="Normal 106 3 4 2" xfId="21622"/>
    <cellStyle name="Normal 106 3 4 2 2" xfId="21623"/>
    <cellStyle name="Normal 106 3 4 2 3" xfId="21624"/>
    <cellStyle name="Normal 106 3 4 2 4" xfId="21625"/>
    <cellStyle name="Normal 106 3 4 3" xfId="21626"/>
    <cellStyle name="Normal 106 3 4 4" xfId="21627"/>
    <cellStyle name="Normal 106 3 4 5" xfId="21628"/>
    <cellStyle name="Normal 106 3 5" xfId="21629"/>
    <cellStyle name="Normal 106 3 5 2" xfId="21630"/>
    <cellStyle name="Normal 106 3 5 3" xfId="21631"/>
    <cellStyle name="Normal 106 3 5 4" xfId="21632"/>
    <cellStyle name="Normal 106 3 6" xfId="21633"/>
    <cellStyle name="Normal 106 3 7" xfId="21634"/>
    <cellStyle name="Normal 106 3 8" xfId="21635"/>
    <cellStyle name="Normal 106 4" xfId="1342"/>
    <cellStyle name="Normal 106 4 2" xfId="1343"/>
    <cellStyle name="Normal 106 4 2 2" xfId="21636"/>
    <cellStyle name="Normal 106 4 2 2 2" xfId="21637"/>
    <cellStyle name="Normal 106 4 2 2 3" xfId="21638"/>
    <cellStyle name="Normal 106 4 2 2 4" xfId="21639"/>
    <cellStyle name="Normal 106 4 2 3" xfId="21640"/>
    <cellStyle name="Normal 106 4 2 4" xfId="21641"/>
    <cellStyle name="Normal 106 4 2 5" xfId="21642"/>
    <cellStyle name="Normal 106 4 3" xfId="1344"/>
    <cellStyle name="Normal 106 4 3 2" xfId="21643"/>
    <cellStyle name="Normal 106 4 3 2 2" xfId="21644"/>
    <cellStyle name="Normal 106 4 3 2 3" xfId="21645"/>
    <cellStyle name="Normal 106 4 3 2 4" xfId="21646"/>
    <cellStyle name="Normal 106 4 3 3" xfId="21647"/>
    <cellStyle name="Normal 106 4 3 4" xfId="21648"/>
    <cellStyle name="Normal 106 4 3 5" xfId="21649"/>
    <cellStyle name="Normal 106 4 4" xfId="21650"/>
    <cellStyle name="Normal 106 4 4 2" xfId="21651"/>
    <cellStyle name="Normal 106 4 4 3" xfId="21652"/>
    <cellStyle name="Normal 106 4 4 4" xfId="21653"/>
    <cellStyle name="Normal 106 4 5" xfId="21654"/>
    <cellStyle name="Normal 106 4 6" xfId="21655"/>
    <cellStyle name="Normal 106 4 7" xfId="21656"/>
    <cellStyle name="Normal 106 5" xfId="1345"/>
    <cellStyle name="Normal 106 5 2" xfId="21657"/>
    <cellStyle name="Normal 106 5 2 2" xfId="21658"/>
    <cellStyle name="Normal 106 5 2 3" xfId="21659"/>
    <cellStyle name="Normal 106 5 2 4" xfId="21660"/>
    <cellStyle name="Normal 106 5 3" xfId="21661"/>
    <cellStyle name="Normal 106 5 4" xfId="21662"/>
    <cellStyle name="Normal 106 5 5" xfId="21663"/>
    <cellStyle name="Normal 106 6" xfId="1346"/>
    <cellStyle name="Normal 106 6 2" xfId="21664"/>
    <cellStyle name="Normal 106 6 2 2" xfId="21665"/>
    <cellStyle name="Normal 106 6 2 3" xfId="21666"/>
    <cellStyle name="Normal 106 6 2 4" xfId="21667"/>
    <cellStyle name="Normal 106 6 3" xfId="21668"/>
    <cellStyle name="Normal 106 6 4" xfId="21669"/>
    <cellStyle name="Normal 106 6 5" xfId="21670"/>
    <cellStyle name="Normal 106 7" xfId="21671"/>
    <cellStyle name="Normal 106 7 2" xfId="21672"/>
    <cellStyle name="Normal 106 7 3" xfId="21673"/>
    <cellStyle name="Normal 106 7 4" xfId="21674"/>
    <cellStyle name="Normal 106 8" xfId="21675"/>
    <cellStyle name="Normal 106 9" xfId="21676"/>
    <cellStyle name="Normal 107" xfId="40316"/>
    <cellStyle name="Normal 108" xfId="40317"/>
    <cellStyle name="Normal 109" xfId="40098"/>
    <cellStyle name="Normal 109 2" xfId="40318"/>
    <cellStyle name="Normal 109 3" xfId="40319"/>
    <cellStyle name="Normal 11" xfId="1347"/>
    <cellStyle name="Normal 11 10" xfId="21677"/>
    <cellStyle name="Normal 11 11" xfId="21678"/>
    <cellStyle name="Normal 11 12" xfId="21679"/>
    <cellStyle name="Normal 11 2" xfId="1348"/>
    <cellStyle name="Normal 11 2 2" xfId="1349"/>
    <cellStyle name="Normal 11 2 2 2" xfId="1350"/>
    <cellStyle name="Normal 11 2 2 2 2" xfId="1351"/>
    <cellStyle name="Normal 11 2 2 2 2 2" xfId="21680"/>
    <cellStyle name="Normal 11 2 2 2 2 2 2" xfId="21681"/>
    <cellStyle name="Normal 11 2 2 2 2 2 3" xfId="21682"/>
    <cellStyle name="Normal 11 2 2 2 2 2 4" xfId="21683"/>
    <cellStyle name="Normal 11 2 2 2 2 3" xfId="21684"/>
    <cellStyle name="Normal 11 2 2 2 2 4" xfId="21685"/>
    <cellStyle name="Normal 11 2 2 2 2 5" xfId="21686"/>
    <cellStyle name="Normal 11 2 2 2 3" xfId="1352"/>
    <cellStyle name="Normal 11 2 2 2 3 2" xfId="21687"/>
    <cellStyle name="Normal 11 2 2 2 3 2 2" xfId="21688"/>
    <cellStyle name="Normal 11 2 2 2 3 2 3" xfId="21689"/>
    <cellStyle name="Normal 11 2 2 2 3 2 4" xfId="21690"/>
    <cellStyle name="Normal 11 2 2 2 3 3" xfId="21691"/>
    <cellStyle name="Normal 11 2 2 2 3 4" xfId="21692"/>
    <cellStyle name="Normal 11 2 2 2 3 5" xfId="21693"/>
    <cellStyle name="Normal 11 2 2 2 4" xfId="21694"/>
    <cellStyle name="Normal 11 2 2 2 4 2" xfId="21695"/>
    <cellStyle name="Normal 11 2 2 2 4 3" xfId="21696"/>
    <cellStyle name="Normal 11 2 2 2 4 4" xfId="21697"/>
    <cellStyle name="Normal 11 2 2 2 5" xfId="21698"/>
    <cellStyle name="Normal 11 2 2 2 6" xfId="21699"/>
    <cellStyle name="Normal 11 2 2 2 7" xfId="21700"/>
    <cellStyle name="Normal 11 2 2 3" xfId="1353"/>
    <cellStyle name="Normal 11 2 2 3 2" xfId="21701"/>
    <cellStyle name="Normal 11 2 2 3 2 2" xfId="21702"/>
    <cellStyle name="Normal 11 2 2 3 2 3" xfId="21703"/>
    <cellStyle name="Normal 11 2 2 3 2 4" xfId="21704"/>
    <cellStyle name="Normal 11 2 2 3 3" xfId="21705"/>
    <cellStyle name="Normal 11 2 2 3 4" xfId="21706"/>
    <cellStyle name="Normal 11 2 2 3 5" xfId="21707"/>
    <cellStyle name="Normal 11 2 2 4" xfId="1354"/>
    <cellStyle name="Normal 11 2 2 4 2" xfId="21708"/>
    <cellStyle name="Normal 11 2 2 4 2 2" xfId="21709"/>
    <cellStyle name="Normal 11 2 2 4 2 3" xfId="21710"/>
    <cellStyle name="Normal 11 2 2 4 2 4" xfId="21711"/>
    <cellStyle name="Normal 11 2 2 4 3" xfId="21712"/>
    <cellStyle name="Normal 11 2 2 4 4" xfId="21713"/>
    <cellStyle name="Normal 11 2 2 4 5" xfId="21714"/>
    <cellStyle name="Normal 11 2 2 5" xfId="21715"/>
    <cellStyle name="Normal 11 2 2 5 2" xfId="21716"/>
    <cellStyle name="Normal 11 2 2 5 3" xfId="21717"/>
    <cellStyle name="Normal 11 2 2 5 4" xfId="21718"/>
    <cellStyle name="Normal 11 2 2 6" xfId="21719"/>
    <cellStyle name="Normal 11 2 2 7" xfId="21720"/>
    <cellStyle name="Normal 11 2 2 8" xfId="21721"/>
    <cellStyle name="Normal 11 2 3" xfId="1355"/>
    <cellStyle name="Normal 11 2 3 2" xfId="1356"/>
    <cellStyle name="Normal 11 2 3 2 2" xfId="21722"/>
    <cellStyle name="Normal 11 2 3 2 2 2" xfId="21723"/>
    <cellStyle name="Normal 11 2 3 2 2 3" xfId="21724"/>
    <cellStyle name="Normal 11 2 3 2 2 4" xfId="21725"/>
    <cellStyle name="Normal 11 2 3 2 3" xfId="21726"/>
    <cellStyle name="Normal 11 2 3 2 4" xfId="21727"/>
    <cellStyle name="Normal 11 2 3 2 5" xfId="21728"/>
    <cellStyle name="Normal 11 2 3 3" xfId="1357"/>
    <cellStyle name="Normal 11 2 3 3 2" xfId="21729"/>
    <cellStyle name="Normal 11 2 3 3 2 2" xfId="21730"/>
    <cellStyle name="Normal 11 2 3 3 2 3" xfId="21731"/>
    <cellStyle name="Normal 11 2 3 3 2 4" xfId="21732"/>
    <cellStyle name="Normal 11 2 3 3 3" xfId="21733"/>
    <cellStyle name="Normal 11 2 3 3 4" xfId="21734"/>
    <cellStyle name="Normal 11 2 3 3 5" xfId="21735"/>
    <cellStyle name="Normal 11 2 3 4" xfId="21736"/>
    <cellStyle name="Normal 11 2 3 4 2" xfId="21737"/>
    <cellStyle name="Normal 11 2 3 4 3" xfId="21738"/>
    <cellStyle name="Normal 11 2 3 4 4" xfId="21739"/>
    <cellStyle name="Normal 11 2 3 5" xfId="21740"/>
    <cellStyle name="Normal 11 2 3 6" xfId="21741"/>
    <cellStyle name="Normal 11 2 3 7" xfId="21742"/>
    <cellStyle name="Normal 11 2 4" xfId="1358"/>
    <cellStyle name="Normal 11 2 4 2" xfId="21743"/>
    <cellStyle name="Normal 11 2 4 2 2" xfId="21744"/>
    <cellStyle name="Normal 11 2 4 2 3" xfId="21745"/>
    <cellStyle name="Normal 11 2 4 2 4" xfId="21746"/>
    <cellStyle name="Normal 11 2 4 3" xfId="21747"/>
    <cellStyle name="Normal 11 2 4 4" xfId="21748"/>
    <cellStyle name="Normal 11 2 4 5" xfId="21749"/>
    <cellStyle name="Normal 11 2 5" xfId="1359"/>
    <cellStyle name="Normal 11 2 5 2" xfId="21750"/>
    <cellStyle name="Normal 11 2 5 2 2" xfId="21751"/>
    <cellStyle name="Normal 11 2 5 2 3" xfId="21752"/>
    <cellStyle name="Normal 11 2 5 2 4" xfId="21753"/>
    <cellStyle name="Normal 11 2 5 3" xfId="21754"/>
    <cellStyle name="Normal 11 2 5 4" xfId="21755"/>
    <cellStyle name="Normal 11 2 5 5" xfId="21756"/>
    <cellStyle name="Normal 11 2 6" xfId="21757"/>
    <cellStyle name="Normal 11 2 6 2" xfId="21758"/>
    <cellStyle name="Normal 11 2 6 3" xfId="21759"/>
    <cellStyle name="Normal 11 2 6 4" xfId="21760"/>
    <cellStyle name="Normal 11 2 7" xfId="21761"/>
    <cellStyle name="Normal 11 2 8" xfId="21762"/>
    <cellStyle name="Normal 11 2 9" xfId="21763"/>
    <cellStyle name="Normal 11 3" xfId="1360"/>
    <cellStyle name="Normal 11 3 2" xfId="1361"/>
    <cellStyle name="Normal 11 3 2 2" xfId="1362"/>
    <cellStyle name="Normal 11 3 2 2 2" xfId="1363"/>
    <cellStyle name="Normal 11 3 2 2 2 2" xfId="21764"/>
    <cellStyle name="Normal 11 3 2 2 2 2 2" xfId="21765"/>
    <cellStyle name="Normal 11 3 2 2 2 2 3" xfId="21766"/>
    <cellStyle name="Normal 11 3 2 2 2 2 4" xfId="21767"/>
    <cellStyle name="Normal 11 3 2 2 2 3" xfId="21768"/>
    <cellStyle name="Normal 11 3 2 2 2 4" xfId="21769"/>
    <cellStyle name="Normal 11 3 2 2 2 5" xfId="21770"/>
    <cellStyle name="Normal 11 3 2 2 3" xfId="1364"/>
    <cellStyle name="Normal 11 3 2 2 3 2" xfId="21771"/>
    <cellStyle name="Normal 11 3 2 2 3 2 2" xfId="21772"/>
    <cellStyle name="Normal 11 3 2 2 3 2 3" xfId="21773"/>
    <cellStyle name="Normal 11 3 2 2 3 2 4" xfId="21774"/>
    <cellStyle name="Normal 11 3 2 2 3 3" xfId="21775"/>
    <cellStyle name="Normal 11 3 2 2 3 4" xfId="21776"/>
    <cellStyle name="Normal 11 3 2 2 3 5" xfId="21777"/>
    <cellStyle name="Normal 11 3 2 2 4" xfId="21778"/>
    <cellStyle name="Normal 11 3 2 2 4 2" xfId="21779"/>
    <cellStyle name="Normal 11 3 2 2 4 3" xfId="21780"/>
    <cellStyle name="Normal 11 3 2 2 4 4" xfId="21781"/>
    <cellStyle name="Normal 11 3 2 2 5" xfId="21782"/>
    <cellStyle name="Normal 11 3 2 2 6" xfId="21783"/>
    <cellStyle name="Normal 11 3 2 2 7" xfId="21784"/>
    <cellStyle name="Normal 11 3 2 3" xfId="1365"/>
    <cellStyle name="Normal 11 3 2 3 2" xfId="21785"/>
    <cellStyle name="Normal 11 3 2 3 2 2" xfId="21786"/>
    <cellStyle name="Normal 11 3 2 3 2 3" xfId="21787"/>
    <cellStyle name="Normal 11 3 2 3 2 4" xfId="21788"/>
    <cellStyle name="Normal 11 3 2 3 3" xfId="21789"/>
    <cellStyle name="Normal 11 3 2 3 4" xfId="21790"/>
    <cellStyle name="Normal 11 3 2 3 5" xfId="21791"/>
    <cellStyle name="Normal 11 3 2 4" xfId="1366"/>
    <cellStyle name="Normal 11 3 2 4 2" xfId="21792"/>
    <cellStyle name="Normal 11 3 2 4 2 2" xfId="21793"/>
    <cellStyle name="Normal 11 3 2 4 2 3" xfId="21794"/>
    <cellStyle name="Normal 11 3 2 4 2 4" xfId="21795"/>
    <cellStyle name="Normal 11 3 2 4 3" xfId="21796"/>
    <cellStyle name="Normal 11 3 2 4 4" xfId="21797"/>
    <cellStyle name="Normal 11 3 2 4 5" xfId="21798"/>
    <cellStyle name="Normal 11 3 2 5" xfId="21799"/>
    <cellStyle name="Normal 11 3 2 5 2" xfId="21800"/>
    <cellStyle name="Normal 11 3 2 5 3" xfId="21801"/>
    <cellStyle name="Normal 11 3 2 5 4" xfId="21802"/>
    <cellStyle name="Normal 11 3 2 6" xfId="21803"/>
    <cellStyle name="Normal 11 3 2 7" xfId="21804"/>
    <cellStyle name="Normal 11 3 2 8" xfId="21805"/>
    <cellStyle name="Normal 11 3 3" xfId="1367"/>
    <cellStyle name="Normal 11 3 3 2" xfId="1368"/>
    <cellStyle name="Normal 11 3 3 2 2" xfId="21806"/>
    <cellStyle name="Normal 11 3 3 2 2 2" xfId="21807"/>
    <cellStyle name="Normal 11 3 3 2 2 3" xfId="21808"/>
    <cellStyle name="Normal 11 3 3 2 2 4" xfId="21809"/>
    <cellStyle name="Normal 11 3 3 2 3" xfId="21810"/>
    <cellStyle name="Normal 11 3 3 2 4" xfId="21811"/>
    <cellStyle name="Normal 11 3 3 2 5" xfId="21812"/>
    <cellStyle name="Normal 11 3 3 3" xfId="1369"/>
    <cellStyle name="Normal 11 3 3 3 2" xfId="21813"/>
    <cellStyle name="Normal 11 3 3 3 2 2" xfId="21814"/>
    <cellStyle name="Normal 11 3 3 3 2 3" xfId="21815"/>
    <cellStyle name="Normal 11 3 3 3 2 4" xfId="21816"/>
    <cellStyle name="Normal 11 3 3 3 3" xfId="21817"/>
    <cellStyle name="Normal 11 3 3 3 4" xfId="21818"/>
    <cellStyle name="Normal 11 3 3 3 5" xfId="21819"/>
    <cellStyle name="Normal 11 3 3 4" xfId="21820"/>
    <cellStyle name="Normal 11 3 3 4 2" xfId="21821"/>
    <cellStyle name="Normal 11 3 3 4 3" xfId="21822"/>
    <cellStyle name="Normal 11 3 3 4 4" xfId="21823"/>
    <cellStyle name="Normal 11 3 3 5" xfId="21824"/>
    <cellStyle name="Normal 11 3 3 6" xfId="21825"/>
    <cellStyle name="Normal 11 3 3 7" xfId="21826"/>
    <cellStyle name="Normal 11 3 4" xfId="1370"/>
    <cellStyle name="Normal 11 3 4 2" xfId="21827"/>
    <cellStyle name="Normal 11 3 4 2 2" xfId="21828"/>
    <cellStyle name="Normal 11 3 4 2 3" xfId="21829"/>
    <cellStyle name="Normal 11 3 4 2 4" xfId="21830"/>
    <cellStyle name="Normal 11 3 4 3" xfId="21831"/>
    <cellStyle name="Normal 11 3 4 4" xfId="21832"/>
    <cellStyle name="Normal 11 3 4 5" xfId="21833"/>
    <cellStyle name="Normal 11 3 5" xfId="1371"/>
    <cellStyle name="Normal 11 3 5 2" xfId="21834"/>
    <cellStyle name="Normal 11 3 5 2 2" xfId="21835"/>
    <cellStyle name="Normal 11 3 5 2 3" xfId="21836"/>
    <cellStyle name="Normal 11 3 5 2 4" xfId="21837"/>
    <cellStyle name="Normal 11 3 5 3" xfId="21838"/>
    <cellStyle name="Normal 11 3 5 4" xfId="21839"/>
    <cellStyle name="Normal 11 3 5 5" xfId="21840"/>
    <cellStyle name="Normal 11 3 6" xfId="21841"/>
    <cellStyle name="Normal 11 3 6 2" xfId="21842"/>
    <cellStyle name="Normal 11 3 6 3" xfId="21843"/>
    <cellStyle name="Normal 11 3 6 4" xfId="21844"/>
    <cellStyle name="Normal 11 3 7" xfId="21845"/>
    <cellStyle name="Normal 11 3 8" xfId="21846"/>
    <cellStyle name="Normal 11 3 9" xfId="21847"/>
    <cellStyle name="Normal 11 4" xfId="1372"/>
    <cellStyle name="Normal 11 4 2" xfId="1373"/>
    <cellStyle name="Normal 11 4 2 2" xfId="1374"/>
    <cellStyle name="Normal 11 4 2 2 2" xfId="21848"/>
    <cellStyle name="Normal 11 4 2 2 2 2" xfId="21849"/>
    <cellStyle name="Normal 11 4 2 2 2 3" xfId="21850"/>
    <cellStyle name="Normal 11 4 2 2 2 4" xfId="21851"/>
    <cellStyle name="Normal 11 4 2 2 3" xfId="21852"/>
    <cellStyle name="Normal 11 4 2 2 4" xfId="21853"/>
    <cellStyle name="Normal 11 4 2 2 5" xfId="21854"/>
    <cellStyle name="Normal 11 4 2 3" xfId="1375"/>
    <cellStyle name="Normal 11 4 2 3 2" xfId="21855"/>
    <cellStyle name="Normal 11 4 2 3 2 2" xfId="21856"/>
    <cellStyle name="Normal 11 4 2 3 2 3" xfId="21857"/>
    <cellStyle name="Normal 11 4 2 3 2 4" xfId="21858"/>
    <cellStyle name="Normal 11 4 2 3 3" xfId="21859"/>
    <cellStyle name="Normal 11 4 2 3 4" xfId="21860"/>
    <cellStyle name="Normal 11 4 2 3 5" xfId="21861"/>
    <cellStyle name="Normal 11 4 2 4" xfId="21862"/>
    <cellStyle name="Normal 11 4 2 4 2" xfId="21863"/>
    <cellStyle name="Normal 11 4 2 4 3" xfId="21864"/>
    <cellStyle name="Normal 11 4 2 4 4" xfId="21865"/>
    <cellStyle name="Normal 11 4 2 5" xfId="21866"/>
    <cellStyle name="Normal 11 4 2 6" xfId="21867"/>
    <cellStyle name="Normal 11 4 2 7" xfId="21868"/>
    <cellStyle name="Normal 11 4 3" xfId="1376"/>
    <cellStyle name="Normal 11 4 3 2" xfId="21869"/>
    <cellStyle name="Normal 11 4 3 2 2" xfId="21870"/>
    <cellStyle name="Normal 11 4 3 2 3" xfId="21871"/>
    <cellStyle name="Normal 11 4 3 2 4" xfId="21872"/>
    <cellStyle name="Normal 11 4 3 3" xfId="21873"/>
    <cellStyle name="Normal 11 4 3 4" xfId="21874"/>
    <cellStyle name="Normal 11 4 3 5" xfId="21875"/>
    <cellStyle name="Normal 11 4 4" xfId="1377"/>
    <cellStyle name="Normal 11 4 4 2" xfId="21876"/>
    <cellStyle name="Normal 11 4 4 2 2" xfId="21877"/>
    <cellStyle name="Normal 11 4 4 2 3" xfId="21878"/>
    <cellStyle name="Normal 11 4 4 2 4" xfId="21879"/>
    <cellStyle name="Normal 11 4 4 3" xfId="21880"/>
    <cellStyle name="Normal 11 4 4 4" xfId="21881"/>
    <cellStyle name="Normal 11 4 4 5" xfId="21882"/>
    <cellStyle name="Normal 11 4 5" xfId="21883"/>
    <cellStyle name="Normal 11 4 5 2" xfId="21884"/>
    <cellStyle name="Normal 11 4 5 3" xfId="21885"/>
    <cellStyle name="Normal 11 4 5 4" xfId="21886"/>
    <cellStyle name="Normal 11 4 6" xfId="21887"/>
    <cellStyle name="Normal 11 4 7" xfId="21888"/>
    <cellStyle name="Normal 11 4 8" xfId="21889"/>
    <cellStyle name="Normal 11 5" xfId="1378"/>
    <cellStyle name="Normal 11 5 2" xfId="1379"/>
    <cellStyle name="Normal 11 5 2 2" xfId="21890"/>
    <cellStyle name="Normal 11 5 2 2 2" xfId="21891"/>
    <cellStyle name="Normal 11 5 2 2 3" xfId="21892"/>
    <cellStyle name="Normal 11 5 2 2 4" xfId="21893"/>
    <cellStyle name="Normal 11 5 2 3" xfId="21894"/>
    <cellStyle name="Normal 11 5 2 4" xfId="21895"/>
    <cellStyle name="Normal 11 5 2 5" xfId="21896"/>
    <cellStyle name="Normal 11 5 3" xfId="1380"/>
    <cellStyle name="Normal 11 5 3 2" xfId="21897"/>
    <cellStyle name="Normal 11 5 3 2 2" xfId="21898"/>
    <cellStyle name="Normal 11 5 3 2 3" xfId="21899"/>
    <cellStyle name="Normal 11 5 3 2 4" xfId="21900"/>
    <cellStyle name="Normal 11 5 3 3" xfId="21901"/>
    <cellStyle name="Normal 11 5 3 4" xfId="21902"/>
    <cellStyle name="Normal 11 5 3 5" xfId="21903"/>
    <cellStyle name="Normal 11 5 4" xfId="21904"/>
    <cellStyle name="Normal 11 5 4 2" xfId="21905"/>
    <cellStyle name="Normal 11 5 4 3" xfId="21906"/>
    <cellStyle name="Normal 11 5 4 4" xfId="21907"/>
    <cellStyle name="Normal 11 5 5" xfId="21908"/>
    <cellStyle name="Normal 11 5 6" xfId="21909"/>
    <cellStyle name="Normal 11 5 7" xfId="21910"/>
    <cellStyle name="Normal 11 6" xfId="1381"/>
    <cellStyle name="Normal 11 6 2" xfId="21911"/>
    <cellStyle name="Normal 11 6 2 2" xfId="21912"/>
    <cellStyle name="Normal 11 6 2 3" xfId="21913"/>
    <cellStyle name="Normal 11 6 2 4" xfId="21914"/>
    <cellStyle name="Normal 11 6 3" xfId="21915"/>
    <cellStyle name="Normal 11 6 4" xfId="21916"/>
    <cellStyle name="Normal 11 6 5" xfId="21917"/>
    <cellStyle name="Normal 11 7" xfId="1382"/>
    <cellStyle name="Normal 11 7 2" xfId="21918"/>
    <cellStyle name="Normal 11 7 2 2" xfId="21919"/>
    <cellStyle name="Normal 11 7 2 3" xfId="21920"/>
    <cellStyle name="Normal 11 7 2 4" xfId="21921"/>
    <cellStyle name="Normal 11 7 3" xfId="21922"/>
    <cellStyle name="Normal 11 7 4" xfId="21923"/>
    <cellStyle name="Normal 11 7 5" xfId="21924"/>
    <cellStyle name="Normal 11 8" xfId="21925"/>
    <cellStyle name="Normal 11 8 2" xfId="21926"/>
    <cellStyle name="Normal 11 8 3" xfId="21927"/>
    <cellStyle name="Normal 11 8 4" xfId="21928"/>
    <cellStyle name="Normal 11 9" xfId="21929"/>
    <cellStyle name="Normal 110" xfId="40320"/>
    <cellStyle name="Normal 111" xfId="40321"/>
    <cellStyle name="Normal 112" xfId="40322"/>
    <cellStyle name="Normal 113" xfId="40323"/>
    <cellStyle name="Normal 114" xfId="40324"/>
    <cellStyle name="Normal 115" xfId="40325"/>
    <cellStyle name="Normal 116" xfId="40326"/>
    <cellStyle name="Normal 117" xfId="40327"/>
    <cellStyle name="Normal 117 2" xfId="40328"/>
    <cellStyle name="Normal 118" xfId="40329"/>
    <cellStyle name="Normal 12" xfId="1383"/>
    <cellStyle name="Normal 12 10" xfId="1384"/>
    <cellStyle name="Normal 12 10 2" xfId="1385"/>
    <cellStyle name="Normal 12 10 2 2" xfId="1386"/>
    <cellStyle name="Normal 12 10 2 2 2" xfId="1387"/>
    <cellStyle name="Normal 12 10 2 2 2 2" xfId="21930"/>
    <cellStyle name="Normal 12 10 2 2 2 2 2" xfId="21931"/>
    <cellStyle name="Normal 12 10 2 2 2 2 3" xfId="21932"/>
    <cellStyle name="Normal 12 10 2 2 2 2 4" xfId="21933"/>
    <cellStyle name="Normal 12 10 2 2 2 3" xfId="21934"/>
    <cellStyle name="Normal 12 10 2 2 2 4" xfId="21935"/>
    <cellStyle name="Normal 12 10 2 2 2 5" xfId="21936"/>
    <cellStyle name="Normal 12 10 2 2 3" xfId="1388"/>
    <cellStyle name="Normal 12 10 2 2 3 2" xfId="21937"/>
    <cellStyle name="Normal 12 10 2 2 3 2 2" xfId="21938"/>
    <cellStyle name="Normal 12 10 2 2 3 2 3" xfId="21939"/>
    <cellStyle name="Normal 12 10 2 2 3 2 4" xfId="21940"/>
    <cellStyle name="Normal 12 10 2 2 3 3" xfId="21941"/>
    <cellStyle name="Normal 12 10 2 2 3 4" xfId="21942"/>
    <cellStyle name="Normal 12 10 2 2 3 5" xfId="21943"/>
    <cellStyle name="Normal 12 10 2 2 4" xfId="21944"/>
    <cellStyle name="Normal 12 10 2 2 4 2" xfId="21945"/>
    <cellStyle name="Normal 12 10 2 2 4 3" xfId="21946"/>
    <cellStyle name="Normal 12 10 2 2 4 4" xfId="21947"/>
    <cellStyle name="Normal 12 10 2 2 5" xfId="21948"/>
    <cellStyle name="Normal 12 10 2 2 6" xfId="21949"/>
    <cellStyle name="Normal 12 10 2 2 7" xfId="21950"/>
    <cellStyle name="Normal 12 10 2 3" xfId="1389"/>
    <cellStyle name="Normal 12 10 2 3 2" xfId="21951"/>
    <cellStyle name="Normal 12 10 2 3 2 2" xfId="21952"/>
    <cellStyle name="Normal 12 10 2 3 2 3" xfId="21953"/>
    <cellStyle name="Normal 12 10 2 3 2 4" xfId="21954"/>
    <cellStyle name="Normal 12 10 2 3 3" xfId="21955"/>
    <cellStyle name="Normal 12 10 2 3 4" xfId="21956"/>
    <cellStyle name="Normal 12 10 2 3 5" xfId="21957"/>
    <cellStyle name="Normal 12 10 2 4" xfId="1390"/>
    <cellStyle name="Normal 12 10 2 4 2" xfId="21958"/>
    <cellStyle name="Normal 12 10 2 4 2 2" xfId="21959"/>
    <cellStyle name="Normal 12 10 2 4 2 3" xfId="21960"/>
    <cellStyle name="Normal 12 10 2 4 2 4" xfId="21961"/>
    <cellStyle name="Normal 12 10 2 4 3" xfId="21962"/>
    <cellStyle name="Normal 12 10 2 4 4" xfId="21963"/>
    <cellStyle name="Normal 12 10 2 4 5" xfId="21964"/>
    <cellStyle name="Normal 12 10 2 5" xfId="21965"/>
    <cellStyle name="Normal 12 10 2 5 2" xfId="21966"/>
    <cellStyle name="Normal 12 10 2 5 3" xfId="21967"/>
    <cellStyle name="Normal 12 10 2 5 4" xfId="21968"/>
    <cellStyle name="Normal 12 10 2 6" xfId="21969"/>
    <cellStyle name="Normal 12 10 2 7" xfId="21970"/>
    <cellStyle name="Normal 12 10 2 8" xfId="21971"/>
    <cellStyle name="Normal 12 10 3" xfId="1391"/>
    <cellStyle name="Normal 12 10 3 2" xfId="1392"/>
    <cellStyle name="Normal 12 10 3 2 2" xfId="21972"/>
    <cellStyle name="Normal 12 10 3 2 2 2" xfId="21973"/>
    <cellStyle name="Normal 12 10 3 2 2 3" xfId="21974"/>
    <cellStyle name="Normal 12 10 3 2 2 4" xfId="21975"/>
    <cellStyle name="Normal 12 10 3 2 3" xfId="21976"/>
    <cellStyle name="Normal 12 10 3 2 4" xfId="21977"/>
    <cellStyle name="Normal 12 10 3 2 5" xfId="21978"/>
    <cellStyle name="Normal 12 10 3 3" xfId="1393"/>
    <cellStyle name="Normal 12 10 3 3 2" xfId="21979"/>
    <cellStyle name="Normal 12 10 3 3 2 2" xfId="21980"/>
    <cellStyle name="Normal 12 10 3 3 2 3" xfId="21981"/>
    <cellStyle name="Normal 12 10 3 3 2 4" xfId="21982"/>
    <cellStyle name="Normal 12 10 3 3 3" xfId="21983"/>
    <cellStyle name="Normal 12 10 3 3 4" xfId="21984"/>
    <cellStyle name="Normal 12 10 3 3 5" xfId="21985"/>
    <cellStyle name="Normal 12 10 3 4" xfId="21986"/>
    <cellStyle name="Normal 12 10 3 4 2" xfId="21987"/>
    <cellStyle name="Normal 12 10 3 4 3" xfId="21988"/>
    <cellStyle name="Normal 12 10 3 4 4" xfId="21989"/>
    <cellStyle name="Normal 12 10 3 5" xfId="21990"/>
    <cellStyle name="Normal 12 10 3 6" xfId="21991"/>
    <cellStyle name="Normal 12 10 3 7" xfId="21992"/>
    <cellStyle name="Normal 12 10 4" xfId="1394"/>
    <cellStyle name="Normal 12 10 4 2" xfId="21993"/>
    <cellStyle name="Normal 12 10 4 2 2" xfId="21994"/>
    <cellStyle name="Normal 12 10 4 2 3" xfId="21995"/>
    <cellStyle name="Normal 12 10 4 2 4" xfId="21996"/>
    <cellStyle name="Normal 12 10 4 3" xfId="21997"/>
    <cellStyle name="Normal 12 10 4 4" xfId="21998"/>
    <cellStyle name="Normal 12 10 4 5" xfId="21999"/>
    <cellStyle name="Normal 12 10 5" xfId="1395"/>
    <cellStyle name="Normal 12 10 5 2" xfId="22000"/>
    <cellStyle name="Normal 12 10 5 2 2" xfId="22001"/>
    <cellStyle name="Normal 12 10 5 2 3" xfId="22002"/>
    <cellStyle name="Normal 12 10 5 2 4" xfId="22003"/>
    <cellStyle name="Normal 12 10 5 3" xfId="22004"/>
    <cellStyle name="Normal 12 10 5 4" xfId="22005"/>
    <cellStyle name="Normal 12 10 5 5" xfId="22006"/>
    <cellStyle name="Normal 12 10 6" xfId="22007"/>
    <cellStyle name="Normal 12 10 6 2" xfId="22008"/>
    <cellStyle name="Normal 12 10 6 3" xfId="22009"/>
    <cellStyle name="Normal 12 10 6 4" xfId="22010"/>
    <cellStyle name="Normal 12 10 7" xfId="22011"/>
    <cellStyle name="Normal 12 10 8" xfId="22012"/>
    <cellStyle name="Normal 12 10 9" xfId="22013"/>
    <cellStyle name="Normal 12 11" xfId="1396"/>
    <cellStyle name="Normal 12 11 2" xfId="1397"/>
    <cellStyle name="Normal 12 11 2 2" xfId="1398"/>
    <cellStyle name="Normal 12 11 2 2 2" xfId="1399"/>
    <cellStyle name="Normal 12 11 2 2 2 2" xfId="22014"/>
    <cellStyle name="Normal 12 11 2 2 2 2 2" xfId="22015"/>
    <cellStyle name="Normal 12 11 2 2 2 2 3" xfId="22016"/>
    <cellStyle name="Normal 12 11 2 2 2 2 4" xfId="22017"/>
    <cellStyle name="Normal 12 11 2 2 2 3" xfId="22018"/>
    <cellStyle name="Normal 12 11 2 2 2 4" xfId="22019"/>
    <cellStyle name="Normal 12 11 2 2 2 5" xfId="22020"/>
    <cellStyle name="Normal 12 11 2 2 3" xfId="1400"/>
    <cellStyle name="Normal 12 11 2 2 3 2" xfId="22021"/>
    <cellStyle name="Normal 12 11 2 2 3 2 2" xfId="22022"/>
    <cellStyle name="Normal 12 11 2 2 3 2 3" xfId="22023"/>
    <cellStyle name="Normal 12 11 2 2 3 2 4" xfId="22024"/>
    <cellStyle name="Normal 12 11 2 2 3 3" xfId="22025"/>
    <cellStyle name="Normal 12 11 2 2 3 4" xfId="22026"/>
    <cellStyle name="Normal 12 11 2 2 3 5" xfId="22027"/>
    <cellStyle name="Normal 12 11 2 2 4" xfId="22028"/>
    <cellStyle name="Normal 12 11 2 2 4 2" xfId="22029"/>
    <cellStyle name="Normal 12 11 2 2 4 3" xfId="22030"/>
    <cellStyle name="Normal 12 11 2 2 4 4" xfId="22031"/>
    <cellStyle name="Normal 12 11 2 2 5" xfId="22032"/>
    <cellStyle name="Normal 12 11 2 2 6" xfId="22033"/>
    <cellStyle name="Normal 12 11 2 2 7" xfId="22034"/>
    <cellStyle name="Normal 12 11 2 3" xfId="1401"/>
    <cellStyle name="Normal 12 11 2 3 2" xfId="22035"/>
    <cellStyle name="Normal 12 11 2 3 2 2" xfId="22036"/>
    <cellStyle name="Normal 12 11 2 3 2 3" xfId="22037"/>
    <cellStyle name="Normal 12 11 2 3 2 4" xfId="22038"/>
    <cellStyle name="Normal 12 11 2 3 3" xfId="22039"/>
    <cellStyle name="Normal 12 11 2 3 4" xfId="22040"/>
    <cellStyle name="Normal 12 11 2 3 5" xfId="22041"/>
    <cellStyle name="Normal 12 11 2 4" xfId="1402"/>
    <cellStyle name="Normal 12 11 2 4 2" xfId="22042"/>
    <cellStyle name="Normal 12 11 2 4 2 2" xfId="22043"/>
    <cellStyle name="Normal 12 11 2 4 2 3" xfId="22044"/>
    <cellStyle name="Normal 12 11 2 4 2 4" xfId="22045"/>
    <cellStyle name="Normal 12 11 2 4 3" xfId="22046"/>
    <cellStyle name="Normal 12 11 2 4 4" xfId="22047"/>
    <cellStyle name="Normal 12 11 2 4 5" xfId="22048"/>
    <cellStyle name="Normal 12 11 2 5" xfId="22049"/>
    <cellStyle name="Normal 12 11 2 5 2" xfId="22050"/>
    <cellStyle name="Normal 12 11 2 5 3" xfId="22051"/>
    <cellStyle name="Normal 12 11 2 5 4" xfId="22052"/>
    <cellStyle name="Normal 12 11 2 6" xfId="22053"/>
    <cellStyle name="Normal 12 11 2 7" xfId="22054"/>
    <cellStyle name="Normal 12 11 2 8" xfId="22055"/>
    <cellStyle name="Normal 12 11 3" xfId="1403"/>
    <cellStyle name="Normal 12 11 3 2" xfId="1404"/>
    <cellStyle name="Normal 12 11 3 2 2" xfId="22056"/>
    <cellStyle name="Normal 12 11 3 2 2 2" xfId="22057"/>
    <cellStyle name="Normal 12 11 3 2 2 3" xfId="22058"/>
    <cellStyle name="Normal 12 11 3 2 2 4" xfId="22059"/>
    <cellStyle name="Normal 12 11 3 2 3" xfId="22060"/>
    <cellStyle name="Normal 12 11 3 2 4" xfId="22061"/>
    <cellStyle name="Normal 12 11 3 2 5" xfId="22062"/>
    <cellStyle name="Normal 12 11 3 3" xfId="1405"/>
    <cellStyle name="Normal 12 11 3 3 2" xfId="22063"/>
    <cellStyle name="Normal 12 11 3 3 2 2" xfId="22064"/>
    <cellStyle name="Normal 12 11 3 3 2 3" xfId="22065"/>
    <cellStyle name="Normal 12 11 3 3 2 4" xfId="22066"/>
    <cellStyle name="Normal 12 11 3 3 3" xfId="22067"/>
    <cellStyle name="Normal 12 11 3 3 4" xfId="22068"/>
    <cellStyle name="Normal 12 11 3 3 5" xfId="22069"/>
    <cellStyle name="Normal 12 11 3 4" xfId="22070"/>
    <cellStyle name="Normal 12 11 3 4 2" xfId="22071"/>
    <cellStyle name="Normal 12 11 3 4 3" xfId="22072"/>
    <cellStyle name="Normal 12 11 3 4 4" xfId="22073"/>
    <cellStyle name="Normal 12 11 3 5" xfId="22074"/>
    <cellStyle name="Normal 12 11 3 6" xfId="22075"/>
    <cellStyle name="Normal 12 11 3 7" xfId="22076"/>
    <cellStyle name="Normal 12 11 4" xfId="1406"/>
    <cellStyle name="Normal 12 11 4 2" xfId="22077"/>
    <cellStyle name="Normal 12 11 4 2 2" xfId="22078"/>
    <cellStyle name="Normal 12 11 4 2 3" xfId="22079"/>
    <cellStyle name="Normal 12 11 4 2 4" xfId="22080"/>
    <cellStyle name="Normal 12 11 4 3" xfId="22081"/>
    <cellStyle name="Normal 12 11 4 4" xfId="22082"/>
    <cellStyle name="Normal 12 11 4 5" xfId="22083"/>
    <cellStyle name="Normal 12 11 5" xfId="1407"/>
    <cellStyle name="Normal 12 11 5 2" xfId="22084"/>
    <cellStyle name="Normal 12 11 5 2 2" xfId="22085"/>
    <cellStyle name="Normal 12 11 5 2 3" xfId="22086"/>
    <cellStyle name="Normal 12 11 5 2 4" xfId="22087"/>
    <cellStyle name="Normal 12 11 5 3" xfId="22088"/>
    <cellStyle name="Normal 12 11 5 4" xfId="22089"/>
    <cellStyle name="Normal 12 11 5 5" xfId="22090"/>
    <cellStyle name="Normal 12 11 6" xfId="22091"/>
    <cellStyle name="Normal 12 11 6 2" xfId="22092"/>
    <cellStyle name="Normal 12 11 6 3" xfId="22093"/>
    <cellStyle name="Normal 12 11 6 4" xfId="22094"/>
    <cellStyle name="Normal 12 11 7" xfId="22095"/>
    <cellStyle name="Normal 12 11 8" xfId="22096"/>
    <cellStyle name="Normal 12 11 9" xfId="22097"/>
    <cellStyle name="Normal 12 12" xfId="1408"/>
    <cellStyle name="Normal 12 12 2" xfId="1409"/>
    <cellStyle name="Normal 12 12 2 2" xfId="1410"/>
    <cellStyle name="Normal 12 12 2 2 2" xfId="1411"/>
    <cellStyle name="Normal 12 12 2 2 2 2" xfId="22098"/>
    <cellStyle name="Normal 12 12 2 2 2 2 2" xfId="22099"/>
    <cellStyle name="Normal 12 12 2 2 2 2 3" xfId="22100"/>
    <cellStyle name="Normal 12 12 2 2 2 2 4" xfId="22101"/>
    <cellStyle name="Normal 12 12 2 2 2 3" xfId="22102"/>
    <cellStyle name="Normal 12 12 2 2 2 4" xfId="22103"/>
    <cellStyle name="Normal 12 12 2 2 2 5" xfId="22104"/>
    <cellStyle name="Normal 12 12 2 2 3" xfId="1412"/>
    <cellStyle name="Normal 12 12 2 2 3 2" xfId="22105"/>
    <cellStyle name="Normal 12 12 2 2 3 2 2" xfId="22106"/>
    <cellStyle name="Normal 12 12 2 2 3 2 3" xfId="22107"/>
    <cellStyle name="Normal 12 12 2 2 3 2 4" xfId="22108"/>
    <cellStyle name="Normal 12 12 2 2 3 3" xfId="22109"/>
    <cellStyle name="Normal 12 12 2 2 3 4" xfId="22110"/>
    <cellStyle name="Normal 12 12 2 2 3 5" xfId="22111"/>
    <cellStyle name="Normal 12 12 2 2 4" xfId="22112"/>
    <cellStyle name="Normal 12 12 2 2 4 2" xfId="22113"/>
    <cellStyle name="Normal 12 12 2 2 4 3" xfId="22114"/>
    <cellStyle name="Normal 12 12 2 2 4 4" xfId="22115"/>
    <cellStyle name="Normal 12 12 2 2 5" xfId="22116"/>
    <cellStyle name="Normal 12 12 2 2 6" xfId="22117"/>
    <cellStyle name="Normal 12 12 2 2 7" xfId="22118"/>
    <cellStyle name="Normal 12 12 2 3" xfId="1413"/>
    <cellStyle name="Normal 12 12 2 3 2" xfId="22119"/>
    <cellStyle name="Normal 12 12 2 3 2 2" xfId="22120"/>
    <cellStyle name="Normal 12 12 2 3 2 3" xfId="22121"/>
    <cellStyle name="Normal 12 12 2 3 2 4" xfId="22122"/>
    <cellStyle name="Normal 12 12 2 3 3" xfId="22123"/>
    <cellStyle name="Normal 12 12 2 3 4" xfId="22124"/>
    <cellStyle name="Normal 12 12 2 3 5" xfId="22125"/>
    <cellStyle name="Normal 12 12 2 4" xfId="1414"/>
    <cellStyle name="Normal 12 12 2 4 2" xfId="22126"/>
    <cellStyle name="Normal 12 12 2 4 2 2" xfId="22127"/>
    <cellStyle name="Normal 12 12 2 4 2 3" xfId="22128"/>
    <cellStyle name="Normal 12 12 2 4 2 4" xfId="22129"/>
    <cellStyle name="Normal 12 12 2 4 3" xfId="22130"/>
    <cellStyle name="Normal 12 12 2 4 4" xfId="22131"/>
    <cellStyle name="Normal 12 12 2 4 5" xfId="22132"/>
    <cellStyle name="Normal 12 12 2 5" xfId="22133"/>
    <cellStyle name="Normal 12 12 2 5 2" xfId="22134"/>
    <cellStyle name="Normal 12 12 2 5 3" xfId="22135"/>
    <cellStyle name="Normal 12 12 2 5 4" xfId="22136"/>
    <cellStyle name="Normal 12 12 2 6" xfId="22137"/>
    <cellStyle name="Normal 12 12 2 7" xfId="22138"/>
    <cellStyle name="Normal 12 12 2 8" xfId="22139"/>
    <cellStyle name="Normal 12 12 3" xfId="1415"/>
    <cellStyle name="Normal 12 12 3 2" xfId="1416"/>
    <cellStyle name="Normal 12 12 3 2 2" xfId="22140"/>
    <cellStyle name="Normal 12 12 3 2 2 2" xfId="22141"/>
    <cellStyle name="Normal 12 12 3 2 2 3" xfId="22142"/>
    <cellStyle name="Normal 12 12 3 2 2 4" xfId="22143"/>
    <cellStyle name="Normal 12 12 3 2 3" xfId="22144"/>
    <cellStyle name="Normal 12 12 3 2 4" xfId="22145"/>
    <cellStyle name="Normal 12 12 3 2 5" xfId="22146"/>
    <cellStyle name="Normal 12 12 3 3" xfId="1417"/>
    <cellStyle name="Normal 12 12 3 3 2" xfId="22147"/>
    <cellStyle name="Normal 12 12 3 3 2 2" xfId="22148"/>
    <cellStyle name="Normal 12 12 3 3 2 3" xfId="22149"/>
    <cellStyle name="Normal 12 12 3 3 2 4" xfId="22150"/>
    <cellStyle name="Normal 12 12 3 3 3" xfId="22151"/>
    <cellStyle name="Normal 12 12 3 3 4" xfId="22152"/>
    <cellStyle name="Normal 12 12 3 3 5" xfId="22153"/>
    <cellStyle name="Normal 12 12 3 4" xfId="22154"/>
    <cellStyle name="Normal 12 12 3 4 2" xfId="22155"/>
    <cellStyle name="Normal 12 12 3 4 3" xfId="22156"/>
    <cellStyle name="Normal 12 12 3 4 4" xfId="22157"/>
    <cellStyle name="Normal 12 12 3 5" xfId="22158"/>
    <cellStyle name="Normal 12 12 3 6" xfId="22159"/>
    <cellStyle name="Normal 12 12 3 7" xfId="22160"/>
    <cellStyle name="Normal 12 12 4" xfId="1418"/>
    <cellStyle name="Normal 12 12 4 2" xfId="22161"/>
    <cellStyle name="Normal 12 12 4 2 2" xfId="22162"/>
    <cellStyle name="Normal 12 12 4 2 3" xfId="22163"/>
    <cellStyle name="Normal 12 12 4 2 4" xfId="22164"/>
    <cellStyle name="Normal 12 12 4 3" xfId="22165"/>
    <cellStyle name="Normal 12 12 4 4" xfId="22166"/>
    <cellStyle name="Normal 12 12 4 5" xfId="22167"/>
    <cellStyle name="Normal 12 12 5" xfId="1419"/>
    <cellStyle name="Normal 12 12 5 2" xfId="22168"/>
    <cellStyle name="Normal 12 12 5 2 2" xfId="22169"/>
    <cellStyle name="Normal 12 12 5 2 3" xfId="22170"/>
    <cellStyle name="Normal 12 12 5 2 4" xfId="22171"/>
    <cellStyle name="Normal 12 12 5 3" xfId="22172"/>
    <cellStyle name="Normal 12 12 5 4" xfId="22173"/>
    <cellStyle name="Normal 12 12 5 5" xfId="22174"/>
    <cellStyle name="Normal 12 12 6" xfId="22175"/>
    <cellStyle name="Normal 12 12 6 2" xfId="22176"/>
    <cellStyle name="Normal 12 12 6 3" xfId="22177"/>
    <cellStyle name="Normal 12 12 6 4" xfId="22178"/>
    <cellStyle name="Normal 12 12 7" xfId="22179"/>
    <cellStyle name="Normal 12 12 8" xfId="22180"/>
    <cellStyle name="Normal 12 12 9" xfId="22181"/>
    <cellStyle name="Normal 12 13" xfId="1420"/>
    <cellStyle name="Normal 12 13 2" xfId="1421"/>
    <cellStyle name="Normal 12 13 2 2" xfId="1422"/>
    <cellStyle name="Normal 12 13 2 2 2" xfId="1423"/>
    <cellStyle name="Normal 12 13 2 2 2 2" xfId="22182"/>
    <cellStyle name="Normal 12 13 2 2 2 2 2" xfId="22183"/>
    <cellStyle name="Normal 12 13 2 2 2 2 3" xfId="22184"/>
    <cellStyle name="Normal 12 13 2 2 2 2 4" xfId="22185"/>
    <cellStyle name="Normal 12 13 2 2 2 3" xfId="22186"/>
    <cellStyle name="Normal 12 13 2 2 2 4" xfId="22187"/>
    <cellStyle name="Normal 12 13 2 2 2 5" xfId="22188"/>
    <cellStyle name="Normal 12 13 2 2 3" xfId="1424"/>
    <cellStyle name="Normal 12 13 2 2 3 2" xfId="22189"/>
    <cellStyle name="Normal 12 13 2 2 3 2 2" xfId="22190"/>
    <cellStyle name="Normal 12 13 2 2 3 2 3" xfId="22191"/>
    <cellStyle name="Normal 12 13 2 2 3 2 4" xfId="22192"/>
    <cellStyle name="Normal 12 13 2 2 3 3" xfId="22193"/>
    <cellStyle name="Normal 12 13 2 2 3 4" xfId="22194"/>
    <cellStyle name="Normal 12 13 2 2 3 5" xfId="22195"/>
    <cellStyle name="Normal 12 13 2 2 4" xfId="22196"/>
    <cellStyle name="Normal 12 13 2 2 4 2" xfId="22197"/>
    <cellStyle name="Normal 12 13 2 2 4 3" xfId="22198"/>
    <cellStyle name="Normal 12 13 2 2 4 4" xfId="22199"/>
    <cellStyle name="Normal 12 13 2 2 5" xfId="22200"/>
    <cellStyle name="Normal 12 13 2 2 6" xfId="22201"/>
    <cellStyle name="Normal 12 13 2 2 7" xfId="22202"/>
    <cellStyle name="Normal 12 13 2 3" xfId="1425"/>
    <cellStyle name="Normal 12 13 2 3 2" xfId="22203"/>
    <cellStyle name="Normal 12 13 2 3 2 2" xfId="22204"/>
    <cellStyle name="Normal 12 13 2 3 2 3" xfId="22205"/>
    <cellStyle name="Normal 12 13 2 3 2 4" xfId="22206"/>
    <cellStyle name="Normal 12 13 2 3 3" xfId="22207"/>
    <cellStyle name="Normal 12 13 2 3 4" xfId="22208"/>
    <cellStyle name="Normal 12 13 2 3 5" xfId="22209"/>
    <cellStyle name="Normal 12 13 2 4" xfId="1426"/>
    <cellStyle name="Normal 12 13 2 4 2" xfId="22210"/>
    <cellStyle name="Normal 12 13 2 4 2 2" xfId="22211"/>
    <cellStyle name="Normal 12 13 2 4 2 3" xfId="22212"/>
    <cellStyle name="Normal 12 13 2 4 2 4" xfId="22213"/>
    <cellStyle name="Normal 12 13 2 4 3" xfId="22214"/>
    <cellStyle name="Normal 12 13 2 4 4" xfId="22215"/>
    <cellStyle name="Normal 12 13 2 4 5" xfId="22216"/>
    <cellStyle name="Normal 12 13 2 5" xfId="22217"/>
    <cellStyle name="Normal 12 13 2 5 2" xfId="22218"/>
    <cellStyle name="Normal 12 13 2 5 3" xfId="22219"/>
    <cellStyle name="Normal 12 13 2 5 4" xfId="22220"/>
    <cellStyle name="Normal 12 13 2 6" xfId="22221"/>
    <cellStyle name="Normal 12 13 2 7" xfId="22222"/>
    <cellStyle name="Normal 12 13 2 8" xfId="22223"/>
    <cellStyle name="Normal 12 13 3" xfId="1427"/>
    <cellStyle name="Normal 12 13 3 2" xfId="1428"/>
    <cellStyle name="Normal 12 13 3 2 2" xfId="22224"/>
    <cellStyle name="Normal 12 13 3 2 2 2" xfId="22225"/>
    <cellStyle name="Normal 12 13 3 2 2 3" xfId="22226"/>
    <cellStyle name="Normal 12 13 3 2 2 4" xfId="22227"/>
    <cellStyle name="Normal 12 13 3 2 3" xfId="22228"/>
    <cellStyle name="Normal 12 13 3 2 4" xfId="22229"/>
    <cellStyle name="Normal 12 13 3 2 5" xfId="22230"/>
    <cellStyle name="Normal 12 13 3 3" xfId="1429"/>
    <cellStyle name="Normal 12 13 3 3 2" xfId="22231"/>
    <cellStyle name="Normal 12 13 3 3 2 2" xfId="22232"/>
    <cellStyle name="Normal 12 13 3 3 2 3" xfId="22233"/>
    <cellStyle name="Normal 12 13 3 3 2 4" xfId="22234"/>
    <cellStyle name="Normal 12 13 3 3 3" xfId="22235"/>
    <cellStyle name="Normal 12 13 3 3 4" xfId="22236"/>
    <cellStyle name="Normal 12 13 3 3 5" xfId="22237"/>
    <cellStyle name="Normal 12 13 3 4" xfId="22238"/>
    <cellStyle name="Normal 12 13 3 4 2" xfId="22239"/>
    <cellStyle name="Normal 12 13 3 4 3" xfId="22240"/>
    <cellStyle name="Normal 12 13 3 4 4" xfId="22241"/>
    <cellStyle name="Normal 12 13 3 5" xfId="22242"/>
    <cellStyle name="Normal 12 13 3 6" xfId="22243"/>
    <cellStyle name="Normal 12 13 3 7" xfId="22244"/>
    <cellStyle name="Normal 12 13 4" xfId="1430"/>
    <cellStyle name="Normal 12 13 4 2" xfId="22245"/>
    <cellStyle name="Normal 12 13 4 2 2" xfId="22246"/>
    <cellStyle name="Normal 12 13 4 2 3" xfId="22247"/>
    <cellStyle name="Normal 12 13 4 2 4" xfId="22248"/>
    <cellStyle name="Normal 12 13 4 3" xfId="22249"/>
    <cellStyle name="Normal 12 13 4 4" xfId="22250"/>
    <cellStyle name="Normal 12 13 4 5" xfId="22251"/>
    <cellStyle name="Normal 12 13 5" xfId="1431"/>
    <cellStyle name="Normal 12 13 5 2" xfId="22252"/>
    <cellStyle name="Normal 12 13 5 2 2" xfId="22253"/>
    <cellStyle name="Normal 12 13 5 2 3" xfId="22254"/>
    <cellStyle name="Normal 12 13 5 2 4" xfId="22255"/>
    <cellStyle name="Normal 12 13 5 3" xfId="22256"/>
    <cellStyle name="Normal 12 13 5 4" xfId="22257"/>
    <cellStyle name="Normal 12 13 5 5" xfId="22258"/>
    <cellStyle name="Normal 12 13 6" xfId="22259"/>
    <cellStyle name="Normal 12 13 6 2" xfId="22260"/>
    <cellStyle name="Normal 12 13 6 3" xfId="22261"/>
    <cellStyle name="Normal 12 13 6 4" xfId="22262"/>
    <cellStyle name="Normal 12 13 7" xfId="22263"/>
    <cellStyle name="Normal 12 13 8" xfId="22264"/>
    <cellStyle name="Normal 12 13 9" xfId="22265"/>
    <cellStyle name="Normal 12 14" xfId="1432"/>
    <cellStyle name="Normal 12 14 2" xfId="1433"/>
    <cellStyle name="Normal 12 14 2 2" xfId="1434"/>
    <cellStyle name="Normal 12 14 2 2 2" xfId="1435"/>
    <cellStyle name="Normal 12 14 2 2 2 2" xfId="22266"/>
    <cellStyle name="Normal 12 14 2 2 2 2 2" xfId="22267"/>
    <cellStyle name="Normal 12 14 2 2 2 2 3" xfId="22268"/>
    <cellStyle name="Normal 12 14 2 2 2 2 4" xfId="22269"/>
    <cellStyle name="Normal 12 14 2 2 2 3" xfId="22270"/>
    <cellStyle name="Normal 12 14 2 2 2 4" xfId="22271"/>
    <cellStyle name="Normal 12 14 2 2 2 5" xfId="22272"/>
    <cellStyle name="Normal 12 14 2 2 3" xfId="1436"/>
    <cellStyle name="Normal 12 14 2 2 3 2" xfId="22273"/>
    <cellStyle name="Normal 12 14 2 2 3 2 2" xfId="22274"/>
    <cellStyle name="Normal 12 14 2 2 3 2 3" xfId="22275"/>
    <cellStyle name="Normal 12 14 2 2 3 2 4" xfId="22276"/>
    <cellStyle name="Normal 12 14 2 2 3 3" xfId="22277"/>
    <cellStyle name="Normal 12 14 2 2 3 4" xfId="22278"/>
    <cellStyle name="Normal 12 14 2 2 3 5" xfId="22279"/>
    <cellStyle name="Normal 12 14 2 2 4" xfId="22280"/>
    <cellStyle name="Normal 12 14 2 2 4 2" xfId="22281"/>
    <cellStyle name="Normal 12 14 2 2 4 3" xfId="22282"/>
    <cellStyle name="Normal 12 14 2 2 4 4" xfId="22283"/>
    <cellStyle name="Normal 12 14 2 2 5" xfId="22284"/>
    <cellStyle name="Normal 12 14 2 2 6" xfId="22285"/>
    <cellStyle name="Normal 12 14 2 2 7" xfId="22286"/>
    <cellStyle name="Normal 12 14 2 3" xfId="1437"/>
    <cellStyle name="Normal 12 14 2 3 2" xfId="22287"/>
    <cellStyle name="Normal 12 14 2 3 2 2" xfId="22288"/>
    <cellStyle name="Normal 12 14 2 3 2 3" xfId="22289"/>
    <cellStyle name="Normal 12 14 2 3 2 4" xfId="22290"/>
    <cellStyle name="Normal 12 14 2 3 3" xfId="22291"/>
    <cellStyle name="Normal 12 14 2 3 4" xfId="22292"/>
    <cellStyle name="Normal 12 14 2 3 5" xfId="22293"/>
    <cellStyle name="Normal 12 14 2 4" xfId="1438"/>
    <cellStyle name="Normal 12 14 2 4 2" xfId="22294"/>
    <cellStyle name="Normal 12 14 2 4 2 2" xfId="22295"/>
    <cellStyle name="Normal 12 14 2 4 2 3" xfId="22296"/>
    <cellStyle name="Normal 12 14 2 4 2 4" xfId="22297"/>
    <cellStyle name="Normal 12 14 2 4 3" xfId="22298"/>
    <cellStyle name="Normal 12 14 2 4 4" xfId="22299"/>
    <cellStyle name="Normal 12 14 2 4 5" xfId="22300"/>
    <cellStyle name="Normal 12 14 2 5" xfId="22301"/>
    <cellStyle name="Normal 12 14 2 5 2" xfId="22302"/>
    <cellStyle name="Normal 12 14 2 5 3" xfId="22303"/>
    <cellStyle name="Normal 12 14 2 5 4" xfId="22304"/>
    <cellStyle name="Normal 12 14 2 6" xfId="22305"/>
    <cellStyle name="Normal 12 14 2 7" xfId="22306"/>
    <cellStyle name="Normal 12 14 2 8" xfId="22307"/>
    <cellStyle name="Normal 12 14 3" xfId="1439"/>
    <cellStyle name="Normal 12 14 3 2" xfId="1440"/>
    <cellStyle name="Normal 12 14 3 2 2" xfId="22308"/>
    <cellStyle name="Normal 12 14 3 2 2 2" xfId="22309"/>
    <cellStyle name="Normal 12 14 3 2 2 3" xfId="22310"/>
    <cellStyle name="Normal 12 14 3 2 2 4" xfId="22311"/>
    <cellStyle name="Normal 12 14 3 2 3" xfId="22312"/>
    <cellStyle name="Normal 12 14 3 2 4" xfId="22313"/>
    <cellStyle name="Normal 12 14 3 2 5" xfId="22314"/>
    <cellStyle name="Normal 12 14 3 3" xfId="1441"/>
    <cellStyle name="Normal 12 14 3 3 2" xfId="22315"/>
    <cellStyle name="Normal 12 14 3 3 2 2" xfId="22316"/>
    <cellStyle name="Normal 12 14 3 3 2 3" xfId="22317"/>
    <cellStyle name="Normal 12 14 3 3 2 4" xfId="22318"/>
    <cellStyle name="Normal 12 14 3 3 3" xfId="22319"/>
    <cellStyle name="Normal 12 14 3 3 4" xfId="22320"/>
    <cellStyle name="Normal 12 14 3 3 5" xfId="22321"/>
    <cellStyle name="Normal 12 14 3 4" xfId="22322"/>
    <cellStyle name="Normal 12 14 3 4 2" xfId="22323"/>
    <cellStyle name="Normal 12 14 3 4 3" xfId="22324"/>
    <cellStyle name="Normal 12 14 3 4 4" xfId="22325"/>
    <cellStyle name="Normal 12 14 3 5" xfId="22326"/>
    <cellStyle name="Normal 12 14 3 6" xfId="22327"/>
    <cellStyle name="Normal 12 14 3 7" xfId="22328"/>
    <cellStyle name="Normal 12 14 4" xfId="1442"/>
    <cellStyle name="Normal 12 14 4 2" xfId="22329"/>
    <cellStyle name="Normal 12 14 4 2 2" xfId="22330"/>
    <cellStyle name="Normal 12 14 4 2 3" xfId="22331"/>
    <cellStyle name="Normal 12 14 4 2 4" xfId="22332"/>
    <cellStyle name="Normal 12 14 4 3" xfId="22333"/>
    <cellStyle name="Normal 12 14 4 4" xfId="22334"/>
    <cellStyle name="Normal 12 14 4 5" xfId="22335"/>
    <cellStyle name="Normal 12 14 5" xfId="1443"/>
    <cellStyle name="Normal 12 14 5 2" xfId="22336"/>
    <cellStyle name="Normal 12 14 5 2 2" xfId="22337"/>
    <cellStyle name="Normal 12 14 5 2 3" xfId="22338"/>
    <cellStyle name="Normal 12 14 5 2 4" xfId="22339"/>
    <cellStyle name="Normal 12 14 5 3" xfId="22340"/>
    <cellStyle name="Normal 12 14 5 4" xfId="22341"/>
    <cellStyle name="Normal 12 14 5 5" xfId="22342"/>
    <cellStyle name="Normal 12 14 6" xfId="22343"/>
    <cellStyle name="Normal 12 14 6 2" xfId="22344"/>
    <cellStyle name="Normal 12 14 6 3" xfId="22345"/>
    <cellStyle name="Normal 12 14 6 4" xfId="22346"/>
    <cellStyle name="Normal 12 14 7" xfId="22347"/>
    <cellStyle name="Normal 12 14 8" xfId="22348"/>
    <cellStyle name="Normal 12 14 9" xfId="22349"/>
    <cellStyle name="Normal 12 15" xfId="1444"/>
    <cellStyle name="Normal 12 15 2" xfId="1445"/>
    <cellStyle name="Normal 12 15 2 2" xfId="1446"/>
    <cellStyle name="Normal 12 15 2 2 2" xfId="1447"/>
    <cellStyle name="Normal 12 15 2 2 2 2" xfId="22350"/>
    <cellStyle name="Normal 12 15 2 2 2 2 2" xfId="22351"/>
    <cellStyle name="Normal 12 15 2 2 2 2 3" xfId="22352"/>
    <cellStyle name="Normal 12 15 2 2 2 2 4" xfId="22353"/>
    <cellStyle name="Normal 12 15 2 2 2 3" xfId="22354"/>
    <cellStyle name="Normal 12 15 2 2 2 4" xfId="22355"/>
    <cellStyle name="Normal 12 15 2 2 2 5" xfId="22356"/>
    <cellStyle name="Normal 12 15 2 2 3" xfId="1448"/>
    <cellStyle name="Normal 12 15 2 2 3 2" xfId="22357"/>
    <cellStyle name="Normal 12 15 2 2 3 2 2" xfId="22358"/>
    <cellStyle name="Normal 12 15 2 2 3 2 3" xfId="22359"/>
    <cellStyle name="Normal 12 15 2 2 3 2 4" xfId="22360"/>
    <cellStyle name="Normal 12 15 2 2 3 3" xfId="22361"/>
    <cellStyle name="Normal 12 15 2 2 3 4" xfId="22362"/>
    <cellStyle name="Normal 12 15 2 2 3 5" xfId="22363"/>
    <cellStyle name="Normal 12 15 2 2 4" xfId="22364"/>
    <cellStyle name="Normal 12 15 2 2 4 2" xfId="22365"/>
    <cellStyle name="Normal 12 15 2 2 4 3" xfId="22366"/>
    <cellStyle name="Normal 12 15 2 2 4 4" xfId="22367"/>
    <cellStyle name="Normal 12 15 2 2 5" xfId="22368"/>
    <cellStyle name="Normal 12 15 2 2 6" xfId="22369"/>
    <cellStyle name="Normal 12 15 2 2 7" xfId="22370"/>
    <cellStyle name="Normal 12 15 2 3" xfId="1449"/>
    <cellStyle name="Normal 12 15 2 3 2" xfId="22371"/>
    <cellStyle name="Normal 12 15 2 3 2 2" xfId="22372"/>
    <cellStyle name="Normal 12 15 2 3 2 3" xfId="22373"/>
    <cellStyle name="Normal 12 15 2 3 2 4" xfId="22374"/>
    <cellStyle name="Normal 12 15 2 3 3" xfId="22375"/>
    <cellStyle name="Normal 12 15 2 3 4" xfId="22376"/>
    <cellStyle name="Normal 12 15 2 3 5" xfId="22377"/>
    <cellStyle name="Normal 12 15 2 4" xfId="1450"/>
    <cellStyle name="Normal 12 15 2 4 2" xfId="22378"/>
    <cellStyle name="Normal 12 15 2 4 2 2" xfId="22379"/>
    <cellStyle name="Normal 12 15 2 4 2 3" xfId="22380"/>
    <cellStyle name="Normal 12 15 2 4 2 4" xfId="22381"/>
    <cellStyle name="Normal 12 15 2 4 3" xfId="22382"/>
    <cellStyle name="Normal 12 15 2 4 4" xfId="22383"/>
    <cellStyle name="Normal 12 15 2 4 5" xfId="22384"/>
    <cellStyle name="Normal 12 15 2 5" xfId="22385"/>
    <cellStyle name="Normal 12 15 2 5 2" xfId="22386"/>
    <cellStyle name="Normal 12 15 2 5 3" xfId="22387"/>
    <cellStyle name="Normal 12 15 2 5 4" xfId="22388"/>
    <cellStyle name="Normal 12 15 2 6" xfId="22389"/>
    <cellStyle name="Normal 12 15 2 7" xfId="22390"/>
    <cellStyle name="Normal 12 15 2 8" xfId="22391"/>
    <cellStyle name="Normal 12 15 3" xfId="1451"/>
    <cellStyle name="Normal 12 15 3 2" xfId="1452"/>
    <cellStyle name="Normal 12 15 3 2 2" xfId="22392"/>
    <cellStyle name="Normal 12 15 3 2 2 2" xfId="22393"/>
    <cellStyle name="Normal 12 15 3 2 2 3" xfId="22394"/>
    <cellStyle name="Normal 12 15 3 2 2 4" xfId="22395"/>
    <cellStyle name="Normal 12 15 3 2 3" xfId="22396"/>
    <cellStyle name="Normal 12 15 3 2 4" xfId="22397"/>
    <cellStyle name="Normal 12 15 3 2 5" xfId="22398"/>
    <cellStyle name="Normal 12 15 3 3" xfId="1453"/>
    <cellStyle name="Normal 12 15 3 3 2" xfId="22399"/>
    <cellStyle name="Normal 12 15 3 3 2 2" xfId="22400"/>
    <cellStyle name="Normal 12 15 3 3 2 3" xfId="22401"/>
    <cellStyle name="Normal 12 15 3 3 2 4" xfId="22402"/>
    <cellStyle name="Normal 12 15 3 3 3" xfId="22403"/>
    <cellStyle name="Normal 12 15 3 3 4" xfId="22404"/>
    <cellStyle name="Normal 12 15 3 3 5" xfId="22405"/>
    <cellStyle name="Normal 12 15 3 4" xfId="22406"/>
    <cellStyle name="Normal 12 15 3 4 2" xfId="22407"/>
    <cellStyle name="Normal 12 15 3 4 3" xfId="22408"/>
    <cellStyle name="Normal 12 15 3 4 4" xfId="22409"/>
    <cellStyle name="Normal 12 15 3 5" xfId="22410"/>
    <cellStyle name="Normal 12 15 3 6" xfId="22411"/>
    <cellStyle name="Normal 12 15 3 7" xfId="22412"/>
    <cellStyle name="Normal 12 15 4" xfId="1454"/>
    <cellStyle name="Normal 12 15 4 2" xfId="22413"/>
    <cellStyle name="Normal 12 15 4 2 2" xfId="22414"/>
    <cellStyle name="Normal 12 15 4 2 3" xfId="22415"/>
    <cellStyle name="Normal 12 15 4 2 4" xfId="22416"/>
    <cellStyle name="Normal 12 15 4 3" xfId="22417"/>
    <cellStyle name="Normal 12 15 4 4" xfId="22418"/>
    <cellStyle name="Normal 12 15 4 5" xfId="22419"/>
    <cellStyle name="Normal 12 15 5" xfId="1455"/>
    <cellStyle name="Normal 12 15 5 2" xfId="22420"/>
    <cellStyle name="Normal 12 15 5 2 2" xfId="22421"/>
    <cellStyle name="Normal 12 15 5 2 3" xfId="22422"/>
    <cellStyle name="Normal 12 15 5 2 4" xfId="22423"/>
    <cellStyle name="Normal 12 15 5 3" xfId="22424"/>
    <cellStyle name="Normal 12 15 5 4" xfId="22425"/>
    <cellStyle name="Normal 12 15 5 5" xfId="22426"/>
    <cellStyle name="Normal 12 15 6" xfId="22427"/>
    <cellStyle name="Normal 12 15 6 2" xfId="22428"/>
    <cellStyle name="Normal 12 15 6 3" xfId="22429"/>
    <cellStyle name="Normal 12 15 6 4" xfId="22430"/>
    <cellStyle name="Normal 12 15 7" xfId="22431"/>
    <cellStyle name="Normal 12 15 8" xfId="22432"/>
    <cellStyle name="Normal 12 15 9" xfId="22433"/>
    <cellStyle name="Normal 12 16" xfId="1456"/>
    <cellStyle name="Normal 12 16 2" xfId="1457"/>
    <cellStyle name="Normal 12 16 2 2" xfId="1458"/>
    <cellStyle name="Normal 12 16 2 2 2" xfId="1459"/>
    <cellStyle name="Normal 12 16 2 2 2 2" xfId="22434"/>
    <cellStyle name="Normal 12 16 2 2 2 2 2" xfId="22435"/>
    <cellStyle name="Normal 12 16 2 2 2 2 3" xfId="22436"/>
    <cellStyle name="Normal 12 16 2 2 2 2 4" xfId="22437"/>
    <cellStyle name="Normal 12 16 2 2 2 3" xfId="22438"/>
    <cellStyle name="Normal 12 16 2 2 2 4" xfId="22439"/>
    <cellStyle name="Normal 12 16 2 2 2 5" xfId="22440"/>
    <cellStyle name="Normal 12 16 2 2 3" xfId="1460"/>
    <cellStyle name="Normal 12 16 2 2 3 2" xfId="22441"/>
    <cellStyle name="Normal 12 16 2 2 3 2 2" xfId="22442"/>
    <cellStyle name="Normal 12 16 2 2 3 2 3" xfId="22443"/>
    <cellStyle name="Normal 12 16 2 2 3 2 4" xfId="22444"/>
    <cellStyle name="Normal 12 16 2 2 3 3" xfId="22445"/>
    <cellStyle name="Normal 12 16 2 2 3 4" xfId="22446"/>
    <cellStyle name="Normal 12 16 2 2 3 5" xfId="22447"/>
    <cellStyle name="Normal 12 16 2 2 4" xfId="22448"/>
    <cellStyle name="Normal 12 16 2 2 4 2" xfId="22449"/>
    <cellStyle name="Normal 12 16 2 2 4 3" xfId="22450"/>
    <cellStyle name="Normal 12 16 2 2 4 4" xfId="22451"/>
    <cellStyle name="Normal 12 16 2 2 5" xfId="22452"/>
    <cellStyle name="Normal 12 16 2 2 6" xfId="22453"/>
    <cellStyle name="Normal 12 16 2 2 7" xfId="22454"/>
    <cellStyle name="Normal 12 16 2 3" xfId="1461"/>
    <cellStyle name="Normal 12 16 2 3 2" xfId="22455"/>
    <cellStyle name="Normal 12 16 2 3 2 2" xfId="22456"/>
    <cellStyle name="Normal 12 16 2 3 2 3" xfId="22457"/>
    <cellStyle name="Normal 12 16 2 3 2 4" xfId="22458"/>
    <cellStyle name="Normal 12 16 2 3 3" xfId="22459"/>
    <cellStyle name="Normal 12 16 2 3 4" xfId="22460"/>
    <cellStyle name="Normal 12 16 2 3 5" xfId="22461"/>
    <cellStyle name="Normal 12 16 2 4" xfId="1462"/>
    <cellStyle name="Normal 12 16 2 4 2" xfId="22462"/>
    <cellStyle name="Normal 12 16 2 4 2 2" xfId="22463"/>
    <cellStyle name="Normal 12 16 2 4 2 3" xfId="22464"/>
    <cellStyle name="Normal 12 16 2 4 2 4" xfId="22465"/>
    <cellStyle name="Normal 12 16 2 4 3" xfId="22466"/>
    <cellStyle name="Normal 12 16 2 4 4" xfId="22467"/>
    <cellStyle name="Normal 12 16 2 4 5" xfId="22468"/>
    <cellStyle name="Normal 12 16 2 5" xfId="22469"/>
    <cellStyle name="Normal 12 16 2 5 2" xfId="22470"/>
    <cellStyle name="Normal 12 16 2 5 3" xfId="22471"/>
    <cellStyle name="Normal 12 16 2 5 4" xfId="22472"/>
    <cellStyle name="Normal 12 16 2 6" xfId="22473"/>
    <cellStyle name="Normal 12 16 2 7" xfId="22474"/>
    <cellStyle name="Normal 12 16 2 8" xfId="22475"/>
    <cellStyle name="Normal 12 16 3" xfId="1463"/>
    <cellStyle name="Normal 12 16 3 2" xfId="1464"/>
    <cellStyle name="Normal 12 16 3 2 2" xfId="22476"/>
    <cellStyle name="Normal 12 16 3 2 2 2" xfId="22477"/>
    <cellStyle name="Normal 12 16 3 2 2 3" xfId="22478"/>
    <cellStyle name="Normal 12 16 3 2 2 4" xfId="22479"/>
    <cellStyle name="Normal 12 16 3 2 3" xfId="22480"/>
    <cellStyle name="Normal 12 16 3 2 4" xfId="22481"/>
    <cellStyle name="Normal 12 16 3 2 5" xfId="22482"/>
    <cellStyle name="Normal 12 16 3 3" xfId="1465"/>
    <cellStyle name="Normal 12 16 3 3 2" xfId="22483"/>
    <cellStyle name="Normal 12 16 3 3 2 2" xfId="22484"/>
    <cellStyle name="Normal 12 16 3 3 2 3" xfId="22485"/>
    <cellStyle name="Normal 12 16 3 3 2 4" xfId="22486"/>
    <cellStyle name="Normal 12 16 3 3 3" xfId="22487"/>
    <cellStyle name="Normal 12 16 3 3 4" xfId="22488"/>
    <cellStyle name="Normal 12 16 3 3 5" xfId="22489"/>
    <cellStyle name="Normal 12 16 3 4" xfId="22490"/>
    <cellStyle name="Normal 12 16 3 4 2" xfId="22491"/>
    <cellStyle name="Normal 12 16 3 4 3" xfId="22492"/>
    <cellStyle name="Normal 12 16 3 4 4" xfId="22493"/>
    <cellStyle name="Normal 12 16 3 5" xfId="22494"/>
    <cellStyle name="Normal 12 16 3 6" xfId="22495"/>
    <cellStyle name="Normal 12 16 3 7" xfId="22496"/>
    <cellStyle name="Normal 12 16 4" xfId="1466"/>
    <cellStyle name="Normal 12 16 4 2" xfId="22497"/>
    <cellStyle name="Normal 12 16 4 2 2" xfId="22498"/>
    <cellStyle name="Normal 12 16 4 2 3" xfId="22499"/>
    <cellStyle name="Normal 12 16 4 2 4" xfId="22500"/>
    <cellStyle name="Normal 12 16 4 3" xfId="22501"/>
    <cellStyle name="Normal 12 16 4 4" xfId="22502"/>
    <cellStyle name="Normal 12 16 4 5" xfId="22503"/>
    <cellStyle name="Normal 12 16 5" xfId="1467"/>
    <cellStyle name="Normal 12 16 5 2" xfId="22504"/>
    <cellStyle name="Normal 12 16 5 2 2" xfId="22505"/>
    <cellStyle name="Normal 12 16 5 2 3" xfId="22506"/>
    <cellStyle name="Normal 12 16 5 2 4" xfId="22507"/>
    <cellStyle name="Normal 12 16 5 3" xfId="22508"/>
    <cellStyle name="Normal 12 16 5 4" xfId="22509"/>
    <cellStyle name="Normal 12 16 5 5" xfId="22510"/>
    <cellStyle name="Normal 12 16 6" xfId="22511"/>
    <cellStyle name="Normal 12 16 6 2" xfId="22512"/>
    <cellStyle name="Normal 12 16 6 3" xfId="22513"/>
    <cellStyle name="Normal 12 16 6 4" xfId="22514"/>
    <cellStyle name="Normal 12 16 7" xfId="22515"/>
    <cellStyle name="Normal 12 16 8" xfId="22516"/>
    <cellStyle name="Normal 12 16 9" xfId="22517"/>
    <cellStyle name="Normal 12 17" xfId="1468"/>
    <cellStyle name="Normal 12 17 2" xfId="1469"/>
    <cellStyle name="Normal 12 17 2 2" xfId="1470"/>
    <cellStyle name="Normal 12 17 2 2 2" xfId="1471"/>
    <cellStyle name="Normal 12 17 2 2 2 2" xfId="22518"/>
    <cellStyle name="Normal 12 17 2 2 2 2 2" xfId="22519"/>
    <cellStyle name="Normal 12 17 2 2 2 2 3" xfId="22520"/>
    <cellStyle name="Normal 12 17 2 2 2 2 4" xfId="22521"/>
    <cellStyle name="Normal 12 17 2 2 2 3" xfId="22522"/>
    <cellStyle name="Normal 12 17 2 2 2 4" xfId="22523"/>
    <cellStyle name="Normal 12 17 2 2 2 5" xfId="22524"/>
    <cellStyle name="Normal 12 17 2 2 3" xfId="1472"/>
    <cellStyle name="Normal 12 17 2 2 3 2" xfId="22525"/>
    <cellStyle name="Normal 12 17 2 2 3 2 2" xfId="22526"/>
    <cellStyle name="Normal 12 17 2 2 3 2 3" xfId="22527"/>
    <cellStyle name="Normal 12 17 2 2 3 2 4" xfId="22528"/>
    <cellStyle name="Normal 12 17 2 2 3 3" xfId="22529"/>
    <cellStyle name="Normal 12 17 2 2 3 4" xfId="22530"/>
    <cellStyle name="Normal 12 17 2 2 3 5" xfId="22531"/>
    <cellStyle name="Normal 12 17 2 2 4" xfId="22532"/>
    <cellStyle name="Normal 12 17 2 2 4 2" xfId="22533"/>
    <cellStyle name="Normal 12 17 2 2 4 3" xfId="22534"/>
    <cellStyle name="Normal 12 17 2 2 4 4" xfId="22535"/>
    <cellStyle name="Normal 12 17 2 2 5" xfId="22536"/>
    <cellStyle name="Normal 12 17 2 2 6" xfId="22537"/>
    <cellStyle name="Normal 12 17 2 2 7" xfId="22538"/>
    <cellStyle name="Normal 12 17 2 3" xfId="1473"/>
    <cellStyle name="Normal 12 17 2 3 2" xfId="22539"/>
    <cellStyle name="Normal 12 17 2 3 2 2" xfId="22540"/>
    <cellStyle name="Normal 12 17 2 3 2 3" xfId="22541"/>
    <cellStyle name="Normal 12 17 2 3 2 4" xfId="22542"/>
    <cellStyle name="Normal 12 17 2 3 3" xfId="22543"/>
    <cellStyle name="Normal 12 17 2 3 4" xfId="22544"/>
    <cellStyle name="Normal 12 17 2 3 5" xfId="22545"/>
    <cellStyle name="Normal 12 17 2 4" xfId="1474"/>
    <cellStyle name="Normal 12 17 2 4 2" xfId="22546"/>
    <cellStyle name="Normal 12 17 2 4 2 2" xfId="22547"/>
    <cellStyle name="Normal 12 17 2 4 2 3" xfId="22548"/>
    <cellStyle name="Normal 12 17 2 4 2 4" xfId="22549"/>
    <cellStyle name="Normal 12 17 2 4 3" xfId="22550"/>
    <cellStyle name="Normal 12 17 2 4 4" xfId="22551"/>
    <cellStyle name="Normal 12 17 2 4 5" xfId="22552"/>
    <cellStyle name="Normal 12 17 2 5" xfId="22553"/>
    <cellStyle name="Normal 12 17 2 5 2" xfId="22554"/>
    <cellStyle name="Normal 12 17 2 5 3" xfId="22555"/>
    <cellStyle name="Normal 12 17 2 5 4" xfId="22556"/>
    <cellStyle name="Normal 12 17 2 6" xfId="22557"/>
    <cellStyle name="Normal 12 17 2 7" xfId="22558"/>
    <cellStyle name="Normal 12 17 2 8" xfId="22559"/>
    <cellStyle name="Normal 12 17 3" xfId="1475"/>
    <cellStyle name="Normal 12 17 3 2" xfId="1476"/>
    <cellStyle name="Normal 12 17 3 2 2" xfId="22560"/>
    <cellStyle name="Normal 12 17 3 2 2 2" xfId="22561"/>
    <cellStyle name="Normal 12 17 3 2 2 3" xfId="22562"/>
    <cellStyle name="Normal 12 17 3 2 2 4" xfId="22563"/>
    <cellStyle name="Normal 12 17 3 2 3" xfId="22564"/>
    <cellStyle name="Normal 12 17 3 2 4" xfId="22565"/>
    <cellStyle name="Normal 12 17 3 2 5" xfId="22566"/>
    <cellStyle name="Normal 12 17 3 3" xfId="1477"/>
    <cellStyle name="Normal 12 17 3 3 2" xfId="22567"/>
    <cellStyle name="Normal 12 17 3 3 2 2" xfId="22568"/>
    <cellStyle name="Normal 12 17 3 3 2 3" xfId="22569"/>
    <cellStyle name="Normal 12 17 3 3 2 4" xfId="22570"/>
    <cellStyle name="Normal 12 17 3 3 3" xfId="22571"/>
    <cellStyle name="Normal 12 17 3 3 4" xfId="22572"/>
    <cellStyle name="Normal 12 17 3 3 5" xfId="22573"/>
    <cellStyle name="Normal 12 17 3 4" xfId="22574"/>
    <cellStyle name="Normal 12 17 3 4 2" xfId="22575"/>
    <cellStyle name="Normal 12 17 3 4 3" xfId="22576"/>
    <cellStyle name="Normal 12 17 3 4 4" xfId="22577"/>
    <cellStyle name="Normal 12 17 3 5" xfId="22578"/>
    <cellStyle name="Normal 12 17 3 6" xfId="22579"/>
    <cellStyle name="Normal 12 17 3 7" xfId="22580"/>
    <cellStyle name="Normal 12 17 4" xfId="1478"/>
    <cellStyle name="Normal 12 17 4 2" xfId="22581"/>
    <cellStyle name="Normal 12 17 4 2 2" xfId="22582"/>
    <cellStyle name="Normal 12 17 4 2 3" xfId="22583"/>
    <cellStyle name="Normal 12 17 4 2 4" xfId="22584"/>
    <cellStyle name="Normal 12 17 4 3" xfId="22585"/>
    <cellStyle name="Normal 12 17 4 4" xfId="22586"/>
    <cellStyle name="Normal 12 17 4 5" xfId="22587"/>
    <cellStyle name="Normal 12 17 5" xfId="1479"/>
    <cellStyle name="Normal 12 17 5 2" xfId="22588"/>
    <cellStyle name="Normal 12 17 5 2 2" xfId="22589"/>
    <cellStyle name="Normal 12 17 5 2 3" xfId="22590"/>
    <cellStyle name="Normal 12 17 5 2 4" xfId="22591"/>
    <cellStyle name="Normal 12 17 5 3" xfId="22592"/>
    <cellStyle name="Normal 12 17 5 4" xfId="22593"/>
    <cellStyle name="Normal 12 17 5 5" xfId="22594"/>
    <cellStyle name="Normal 12 17 6" xfId="22595"/>
    <cellStyle name="Normal 12 17 6 2" xfId="22596"/>
    <cellStyle name="Normal 12 17 6 3" xfId="22597"/>
    <cellStyle name="Normal 12 17 6 4" xfId="22598"/>
    <cellStyle name="Normal 12 17 7" xfId="22599"/>
    <cellStyle name="Normal 12 17 8" xfId="22600"/>
    <cellStyle name="Normal 12 17 9" xfId="22601"/>
    <cellStyle name="Normal 12 18" xfId="1480"/>
    <cellStyle name="Normal 12 18 2" xfId="1481"/>
    <cellStyle name="Normal 12 18 2 2" xfId="1482"/>
    <cellStyle name="Normal 12 18 2 2 2" xfId="1483"/>
    <cellStyle name="Normal 12 18 2 2 2 2" xfId="22602"/>
    <cellStyle name="Normal 12 18 2 2 2 2 2" xfId="22603"/>
    <cellStyle name="Normal 12 18 2 2 2 2 3" xfId="22604"/>
    <cellStyle name="Normal 12 18 2 2 2 2 4" xfId="22605"/>
    <cellStyle name="Normal 12 18 2 2 2 3" xfId="22606"/>
    <cellStyle name="Normal 12 18 2 2 2 4" xfId="22607"/>
    <cellStyle name="Normal 12 18 2 2 2 5" xfId="22608"/>
    <cellStyle name="Normal 12 18 2 2 3" xfId="1484"/>
    <cellStyle name="Normal 12 18 2 2 3 2" xfId="22609"/>
    <cellStyle name="Normal 12 18 2 2 3 2 2" xfId="22610"/>
    <cellStyle name="Normal 12 18 2 2 3 2 3" xfId="22611"/>
    <cellStyle name="Normal 12 18 2 2 3 2 4" xfId="22612"/>
    <cellStyle name="Normal 12 18 2 2 3 3" xfId="22613"/>
    <cellStyle name="Normal 12 18 2 2 3 4" xfId="22614"/>
    <cellStyle name="Normal 12 18 2 2 3 5" xfId="22615"/>
    <cellStyle name="Normal 12 18 2 2 4" xfId="22616"/>
    <cellStyle name="Normal 12 18 2 2 4 2" xfId="22617"/>
    <cellStyle name="Normal 12 18 2 2 4 3" xfId="22618"/>
    <cellStyle name="Normal 12 18 2 2 4 4" xfId="22619"/>
    <cellStyle name="Normal 12 18 2 2 5" xfId="22620"/>
    <cellStyle name="Normal 12 18 2 2 6" xfId="22621"/>
    <cellStyle name="Normal 12 18 2 2 7" xfId="22622"/>
    <cellStyle name="Normal 12 18 2 3" xfId="1485"/>
    <cellStyle name="Normal 12 18 2 3 2" xfId="22623"/>
    <cellStyle name="Normal 12 18 2 3 2 2" xfId="22624"/>
    <cellStyle name="Normal 12 18 2 3 2 3" xfId="22625"/>
    <cellStyle name="Normal 12 18 2 3 2 4" xfId="22626"/>
    <cellStyle name="Normal 12 18 2 3 3" xfId="22627"/>
    <cellStyle name="Normal 12 18 2 3 4" xfId="22628"/>
    <cellStyle name="Normal 12 18 2 3 5" xfId="22629"/>
    <cellStyle name="Normal 12 18 2 4" xfId="1486"/>
    <cellStyle name="Normal 12 18 2 4 2" xfId="22630"/>
    <cellStyle name="Normal 12 18 2 4 2 2" xfId="22631"/>
    <cellStyle name="Normal 12 18 2 4 2 3" xfId="22632"/>
    <cellStyle name="Normal 12 18 2 4 2 4" xfId="22633"/>
    <cellStyle name="Normal 12 18 2 4 3" xfId="22634"/>
    <cellStyle name="Normal 12 18 2 4 4" xfId="22635"/>
    <cellStyle name="Normal 12 18 2 4 5" xfId="22636"/>
    <cellStyle name="Normal 12 18 2 5" xfId="22637"/>
    <cellStyle name="Normal 12 18 2 5 2" xfId="22638"/>
    <cellStyle name="Normal 12 18 2 5 3" xfId="22639"/>
    <cellStyle name="Normal 12 18 2 5 4" xfId="22640"/>
    <cellStyle name="Normal 12 18 2 6" xfId="22641"/>
    <cellStyle name="Normal 12 18 2 7" xfId="22642"/>
    <cellStyle name="Normal 12 18 2 8" xfId="22643"/>
    <cellStyle name="Normal 12 18 3" xfId="1487"/>
    <cellStyle name="Normal 12 18 3 2" xfId="1488"/>
    <cellStyle name="Normal 12 18 3 2 2" xfId="22644"/>
    <cellStyle name="Normal 12 18 3 2 2 2" xfId="22645"/>
    <cellStyle name="Normal 12 18 3 2 2 3" xfId="22646"/>
    <cellStyle name="Normal 12 18 3 2 2 4" xfId="22647"/>
    <cellStyle name="Normal 12 18 3 2 3" xfId="22648"/>
    <cellStyle name="Normal 12 18 3 2 4" xfId="22649"/>
    <cellStyle name="Normal 12 18 3 2 5" xfId="22650"/>
    <cellStyle name="Normal 12 18 3 3" xfId="1489"/>
    <cellStyle name="Normal 12 18 3 3 2" xfId="22651"/>
    <cellStyle name="Normal 12 18 3 3 2 2" xfId="22652"/>
    <cellStyle name="Normal 12 18 3 3 2 3" xfId="22653"/>
    <cellStyle name="Normal 12 18 3 3 2 4" xfId="22654"/>
    <cellStyle name="Normal 12 18 3 3 3" xfId="22655"/>
    <cellStyle name="Normal 12 18 3 3 4" xfId="22656"/>
    <cellStyle name="Normal 12 18 3 3 5" xfId="22657"/>
    <cellStyle name="Normal 12 18 3 4" xfId="22658"/>
    <cellStyle name="Normal 12 18 3 4 2" xfId="22659"/>
    <cellStyle name="Normal 12 18 3 4 3" xfId="22660"/>
    <cellStyle name="Normal 12 18 3 4 4" xfId="22661"/>
    <cellStyle name="Normal 12 18 3 5" xfId="22662"/>
    <cellStyle name="Normal 12 18 3 6" xfId="22663"/>
    <cellStyle name="Normal 12 18 3 7" xfId="22664"/>
    <cellStyle name="Normal 12 18 4" xfId="1490"/>
    <cellStyle name="Normal 12 18 4 2" xfId="22665"/>
    <cellStyle name="Normal 12 18 4 2 2" xfId="22666"/>
    <cellStyle name="Normal 12 18 4 2 3" xfId="22667"/>
    <cellStyle name="Normal 12 18 4 2 4" xfId="22668"/>
    <cellStyle name="Normal 12 18 4 3" xfId="22669"/>
    <cellStyle name="Normal 12 18 4 4" xfId="22670"/>
    <cellStyle name="Normal 12 18 4 5" xfId="22671"/>
    <cellStyle name="Normal 12 18 5" xfId="1491"/>
    <cellStyle name="Normal 12 18 5 2" xfId="22672"/>
    <cellStyle name="Normal 12 18 5 2 2" xfId="22673"/>
    <cellStyle name="Normal 12 18 5 2 3" xfId="22674"/>
    <cellStyle name="Normal 12 18 5 2 4" xfId="22675"/>
    <cellStyle name="Normal 12 18 5 3" xfId="22676"/>
    <cellStyle name="Normal 12 18 5 4" xfId="22677"/>
    <cellStyle name="Normal 12 18 5 5" xfId="22678"/>
    <cellStyle name="Normal 12 18 6" xfId="22679"/>
    <cellStyle name="Normal 12 18 6 2" xfId="22680"/>
    <cellStyle name="Normal 12 18 6 3" xfId="22681"/>
    <cellStyle name="Normal 12 18 6 4" xfId="22682"/>
    <cellStyle name="Normal 12 18 7" xfId="22683"/>
    <cellStyle name="Normal 12 18 8" xfId="22684"/>
    <cellStyle name="Normal 12 18 9" xfId="22685"/>
    <cellStyle name="Normal 12 19" xfId="1492"/>
    <cellStyle name="Normal 12 19 2" xfId="1493"/>
    <cellStyle name="Normal 12 19 2 2" xfId="1494"/>
    <cellStyle name="Normal 12 19 2 2 2" xfId="1495"/>
    <cellStyle name="Normal 12 19 2 2 2 2" xfId="22686"/>
    <cellStyle name="Normal 12 19 2 2 2 2 2" xfId="22687"/>
    <cellStyle name="Normal 12 19 2 2 2 2 3" xfId="22688"/>
    <cellStyle name="Normal 12 19 2 2 2 2 4" xfId="22689"/>
    <cellStyle name="Normal 12 19 2 2 2 3" xfId="22690"/>
    <cellStyle name="Normal 12 19 2 2 2 4" xfId="22691"/>
    <cellStyle name="Normal 12 19 2 2 2 5" xfId="22692"/>
    <cellStyle name="Normal 12 19 2 2 3" xfId="1496"/>
    <cellStyle name="Normal 12 19 2 2 3 2" xfId="22693"/>
    <cellStyle name="Normal 12 19 2 2 3 2 2" xfId="22694"/>
    <cellStyle name="Normal 12 19 2 2 3 2 3" xfId="22695"/>
    <cellStyle name="Normal 12 19 2 2 3 2 4" xfId="22696"/>
    <cellStyle name="Normal 12 19 2 2 3 3" xfId="22697"/>
    <cellStyle name="Normal 12 19 2 2 3 4" xfId="22698"/>
    <cellStyle name="Normal 12 19 2 2 3 5" xfId="22699"/>
    <cellStyle name="Normal 12 19 2 2 4" xfId="22700"/>
    <cellStyle name="Normal 12 19 2 2 4 2" xfId="22701"/>
    <cellStyle name="Normal 12 19 2 2 4 3" xfId="22702"/>
    <cellStyle name="Normal 12 19 2 2 4 4" xfId="22703"/>
    <cellStyle name="Normal 12 19 2 2 5" xfId="22704"/>
    <cellStyle name="Normal 12 19 2 2 6" xfId="22705"/>
    <cellStyle name="Normal 12 19 2 2 7" xfId="22706"/>
    <cellStyle name="Normal 12 19 2 3" xfId="1497"/>
    <cellStyle name="Normal 12 19 2 3 2" xfId="22707"/>
    <cellStyle name="Normal 12 19 2 3 2 2" xfId="22708"/>
    <cellStyle name="Normal 12 19 2 3 2 3" xfId="22709"/>
    <cellStyle name="Normal 12 19 2 3 2 4" xfId="22710"/>
    <cellStyle name="Normal 12 19 2 3 3" xfId="22711"/>
    <cellStyle name="Normal 12 19 2 3 4" xfId="22712"/>
    <cellStyle name="Normal 12 19 2 3 5" xfId="22713"/>
    <cellStyle name="Normal 12 19 2 4" xfId="1498"/>
    <cellStyle name="Normal 12 19 2 4 2" xfId="22714"/>
    <cellStyle name="Normal 12 19 2 4 2 2" xfId="22715"/>
    <cellStyle name="Normal 12 19 2 4 2 3" xfId="22716"/>
    <cellStyle name="Normal 12 19 2 4 2 4" xfId="22717"/>
    <cellStyle name="Normal 12 19 2 4 3" xfId="22718"/>
    <cellStyle name="Normal 12 19 2 4 4" xfId="22719"/>
    <cellStyle name="Normal 12 19 2 4 5" xfId="22720"/>
    <cellStyle name="Normal 12 19 2 5" xfId="22721"/>
    <cellStyle name="Normal 12 19 2 5 2" xfId="22722"/>
    <cellStyle name="Normal 12 19 2 5 3" xfId="22723"/>
    <cellStyle name="Normal 12 19 2 5 4" xfId="22724"/>
    <cellStyle name="Normal 12 19 2 6" xfId="22725"/>
    <cellStyle name="Normal 12 19 2 7" xfId="22726"/>
    <cellStyle name="Normal 12 19 2 8" xfId="22727"/>
    <cellStyle name="Normal 12 19 3" xfId="1499"/>
    <cellStyle name="Normal 12 19 3 2" xfId="1500"/>
    <cellStyle name="Normal 12 19 3 2 2" xfId="22728"/>
    <cellStyle name="Normal 12 19 3 2 2 2" xfId="22729"/>
    <cellStyle name="Normal 12 19 3 2 2 3" xfId="22730"/>
    <cellStyle name="Normal 12 19 3 2 2 4" xfId="22731"/>
    <cellStyle name="Normal 12 19 3 2 3" xfId="22732"/>
    <cellStyle name="Normal 12 19 3 2 4" xfId="22733"/>
    <cellStyle name="Normal 12 19 3 2 5" xfId="22734"/>
    <cellStyle name="Normal 12 19 3 3" xfId="1501"/>
    <cellStyle name="Normal 12 19 3 3 2" xfId="22735"/>
    <cellStyle name="Normal 12 19 3 3 2 2" xfId="22736"/>
    <cellStyle name="Normal 12 19 3 3 2 3" xfId="22737"/>
    <cellStyle name="Normal 12 19 3 3 2 4" xfId="22738"/>
    <cellStyle name="Normal 12 19 3 3 3" xfId="22739"/>
    <cellStyle name="Normal 12 19 3 3 4" xfId="22740"/>
    <cellStyle name="Normal 12 19 3 3 5" xfId="22741"/>
    <cellStyle name="Normal 12 19 3 4" xfId="22742"/>
    <cellStyle name="Normal 12 19 3 4 2" xfId="22743"/>
    <cellStyle name="Normal 12 19 3 4 3" xfId="22744"/>
    <cellStyle name="Normal 12 19 3 4 4" xfId="22745"/>
    <cellStyle name="Normal 12 19 3 5" xfId="22746"/>
    <cellStyle name="Normal 12 19 3 6" xfId="22747"/>
    <cellStyle name="Normal 12 19 3 7" xfId="22748"/>
    <cellStyle name="Normal 12 19 4" xfId="1502"/>
    <cellStyle name="Normal 12 19 4 2" xfId="22749"/>
    <cellStyle name="Normal 12 19 4 2 2" xfId="22750"/>
    <cellStyle name="Normal 12 19 4 2 3" xfId="22751"/>
    <cellStyle name="Normal 12 19 4 2 4" xfId="22752"/>
    <cellStyle name="Normal 12 19 4 3" xfId="22753"/>
    <cellStyle name="Normal 12 19 4 4" xfId="22754"/>
    <cellStyle name="Normal 12 19 4 5" xfId="22755"/>
    <cellStyle name="Normal 12 19 5" xfId="1503"/>
    <cellStyle name="Normal 12 19 5 2" xfId="22756"/>
    <cellStyle name="Normal 12 19 5 2 2" xfId="22757"/>
    <cellStyle name="Normal 12 19 5 2 3" xfId="22758"/>
    <cellStyle name="Normal 12 19 5 2 4" xfId="22759"/>
    <cellStyle name="Normal 12 19 5 3" xfId="22760"/>
    <cellStyle name="Normal 12 19 5 4" xfId="22761"/>
    <cellStyle name="Normal 12 19 5 5" xfId="22762"/>
    <cellStyle name="Normal 12 19 6" xfId="22763"/>
    <cellStyle name="Normal 12 19 6 2" xfId="22764"/>
    <cellStyle name="Normal 12 19 6 3" xfId="22765"/>
    <cellStyle name="Normal 12 19 6 4" xfId="22766"/>
    <cellStyle name="Normal 12 19 7" xfId="22767"/>
    <cellStyle name="Normal 12 19 8" xfId="22768"/>
    <cellStyle name="Normal 12 19 9" xfId="22769"/>
    <cellStyle name="Normal 12 2" xfId="1504"/>
    <cellStyle name="Normal 12 2 2" xfId="1505"/>
    <cellStyle name="Normal 12 2 2 2" xfId="1506"/>
    <cellStyle name="Normal 12 2 2 2 2" xfId="1507"/>
    <cellStyle name="Normal 12 2 2 2 2 2" xfId="22770"/>
    <cellStyle name="Normal 12 2 2 2 2 2 2" xfId="22771"/>
    <cellStyle name="Normal 12 2 2 2 2 2 3" xfId="22772"/>
    <cellStyle name="Normal 12 2 2 2 2 2 4" xfId="22773"/>
    <cellStyle name="Normal 12 2 2 2 2 3" xfId="22774"/>
    <cellStyle name="Normal 12 2 2 2 2 4" xfId="22775"/>
    <cellStyle name="Normal 12 2 2 2 2 5" xfId="22776"/>
    <cellStyle name="Normal 12 2 2 2 3" xfId="1508"/>
    <cellStyle name="Normal 12 2 2 2 3 2" xfId="22777"/>
    <cellStyle name="Normal 12 2 2 2 3 2 2" xfId="22778"/>
    <cellStyle name="Normal 12 2 2 2 3 2 3" xfId="22779"/>
    <cellStyle name="Normal 12 2 2 2 3 2 4" xfId="22780"/>
    <cellStyle name="Normal 12 2 2 2 3 3" xfId="22781"/>
    <cellStyle name="Normal 12 2 2 2 3 4" xfId="22782"/>
    <cellStyle name="Normal 12 2 2 2 3 5" xfId="22783"/>
    <cellStyle name="Normal 12 2 2 2 4" xfId="22784"/>
    <cellStyle name="Normal 12 2 2 2 4 2" xfId="22785"/>
    <cellStyle name="Normal 12 2 2 2 4 3" xfId="22786"/>
    <cellStyle name="Normal 12 2 2 2 4 4" xfId="22787"/>
    <cellStyle name="Normal 12 2 2 2 5" xfId="22788"/>
    <cellStyle name="Normal 12 2 2 2 6" xfId="22789"/>
    <cellStyle name="Normal 12 2 2 2 7" xfId="22790"/>
    <cellStyle name="Normal 12 2 2 3" xfId="1509"/>
    <cellStyle name="Normal 12 2 2 3 2" xfId="22791"/>
    <cellStyle name="Normal 12 2 2 3 2 2" xfId="22792"/>
    <cellStyle name="Normal 12 2 2 3 2 3" xfId="22793"/>
    <cellStyle name="Normal 12 2 2 3 2 4" xfId="22794"/>
    <cellStyle name="Normal 12 2 2 3 3" xfId="22795"/>
    <cellStyle name="Normal 12 2 2 3 4" xfId="22796"/>
    <cellStyle name="Normal 12 2 2 3 5" xfId="22797"/>
    <cellStyle name="Normal 12 2 2 4" xfId="1510"/>
    <cellStyle name="Normal 12 2 2 4 2" xfId="22798"/>
    <cellStyle name="Normal 12 2 2 4 2 2" xfId="22799"/>
    <cellStyle name="Normal 12 2 2 4 2 3" xfId="22800"/>
    <cellStyle name="Normal 12 2 2 4 2 4" xfId="22801"/>
    <cellStyle name="Normal 12 2 2 4 3" xfId="22802"/>
    <cellStyle name="Normal 12 2 2 4 4" xfId="22803"/>
    <cellStyle name="Normal 12 2 2 4 5" xfId="22804"/>
    <cellStyle name="Normal 12 2 2 5" xfId="22805"/>
    <cellStyle name="Normal 12 2 2 5 2" xfId="22806"/>
    <cellStyle name="Normal 12 2 2 5 3" xfId="22807"/>
    <cellStyle name="Normal 12 2 2 5 4" xfId="22808"/>
    <cellStyle name="Normal 12 2 2 6" xfId="22809"/>
    <cellStyle name="Normal 12 2 2 7" xfId="22810"/>
    <cellStyle name="Normal 12 2 2 8" xfId="22811"/>
    <cellStyle name="Normal 12 2 3" xfId="1511"/>
    <cellStyle name="Normal 12 2 3 2" xfId="1512"/>
    <cellStyle name="Normal 12 2 3 2 2" xfId="22812"/>
    <cellStyle name="Normal 12 2 3 2 2 2" xfId="22813"/>
    <cellStyle name="Normal 12 2 3 2 2 3" xfId="22814"/>
    <cellStyle name="Normal 12 2 3 2 2 4" xfId="22815"/>
    <cellStyle name="Normal 12 2 3 2 3" xfId="22816"/>
    <cellStyle name="Normal 12 2 3 2 4" xfId="22817"/>
    <cellStyle name="Normal 12 2 3 2 5" xfId="22818"/>
    <cellStyle name="Normal 12 2 3 3" xfId="1513"/>
    <cellStyle name="Normal 12 2 3 3 2" xfId="22819"/>
    <cellStyle name="Normal 12 2 3 3 2 2" xfId="22820"/>
    <cellStyle name="Normal 12 2 3 3 2 3" xfId="22821"/>
    <cellStyle name="Normal 12 2 3 3 2 4" xfId="22822"/>
    <cellStyle name="Normal 12 2 3 3 3" xfId="22823"/>
    <cellStyle name="Normal 12 2 3 3 4" xfId="22824"/>
    <cellStyle name="Normal 12 2 3 3 5" xfId="22825"/>
    <cellStyle name="Normal 12 2 3 4" xfId="22826"/>
    <cellStyle name="Normal 12 2 3 4 2" xfId="22827"/>
    <cellStyle name="Normal 12 2 3 4 3" xfId="22828"/>
    <cellStyle name="Normal 12 2 3 4 4" xfId="22829"/>
    <cellStyle name="Normal 12 2 3 5" xfId="22830"/>
    <cellStyle name="Normal 12 2 3 6" xfId="22831"/>
    <cellStyle name="Normal 12 2 3 7" xfId="22832"/>
    <cellStyle name="Normal 12 2 4" xfId="1514"/>
    <cellStyle name="Normal 12 2 4 2" xfId="22833"/>
    <cellStyle name="Normal 12 2 4 2 2" xfId="22834"/>
    <cellStyle name="Normal 12 2 4 2 3" xfId="22835"/>
    <cellStyle name="Normal 12 2 4 2 4" xfId="22836"/>
    <cellStyle name="Normal 12 2 4 3" xfId="22837"/>
    <cellStyle name="Normal 12 2 4 4" xfId="22838"/>
    <cellStyle name="Normal 12 2 4 5" xfId="22839"/>
    <cellStyle name="Normal 12 2 5" xfId="1515"/>
    <cellStyle name="Normal 12 2 5 2" xfId="22840"/>
    <cellStyle name="Normal 12 2 5 2 2" xfId="22841"/>
    <cellStyle name="Normal 12 2 5 2 3" xfId="22842"/>
    <cellStyle name="Normal 12 2 5 2 4" xfId="22843"/>
    <cellStyle name="Normal 12 2 5 3" xfId="22844"/>
    <cellStyle name="Normal 12 2 5 4" xfId="22845"/>
    <cellStyle name="Normal 12 2 5 5" xfId="22846"/>
    <cellStyle name="Normal 12 2 6" xfId="22847"/>
    <cellStyle name="Normal 12 2 6 2" xfId="22848"/>
    <cellStyle name="Normal 12 2 6 3" xfId="22849"/>
    <cellStyle name="Normal 12 2 6 4" xfId="22850"/>
    <cellStyle name="Normal 12 2 7" xfId="22851"/>
    <cellStyle name="Normal 12 2 8" xfId="22852"/>
    <cellStyle name="Normal 12 2 9" xfId="22853"/>
    <cellStyle name="Normal 12 20" xfId="1516"/>
    <cellStyle name="Normal 12 20 2" xfId="1517"/>
    <cellStyle name="Normal 12 20 2 2" xfId="1518"/>
    <cellStyle name="Normal 12 20 2 2 2" xfId="22854"/>
    <cellStyle name="Normal 12 20 2 2 2 2" xfId="22855"/>
    <cellStyle name="Normal 12 20 2 2 2 3" xfId="22856"/>
    <cellStyle name="Normal 12 20 2 2 2 4" xfId="22857"/>
    <cellStyle name="Normal 12 20 2 2 3" xfId="22858"/>
    <cellStyle name="Normal 12 20 2 2 4" xfId="22859"/>
    <cellStyle name="Normal 12 20 2 2 5" xfId="22860"/>
    <cellStyle name="Normal 12 20 2 3" xfId="1519"/>
    <cellStyle name="Normal 12 20 2 3 2" xfId="22861"/>
    <cellStyle name="Normal 12 20 2 3 2 2" xfId="22862"/>
    <cellStyle name="Normal 12 20 2 3 2 3" xfId="22863"/>
    <cellStyle name="Normal 12 20 2 3 2 4" xfId="22864"/>
    <cellStyle name="Normal 12 20 2 3 3" xfId="22865"/>
    <cellStyle name="Normal 12 20 2 3 4" xfId="22866"/>
    <cellStyle name="Normal 12 20 2 3 5" xfId="22867"/>
    <cellStyle name="Normal 12 20 2 4" xfId="22868"/>
    <cellStyle name="Normal 12 20 2 4 2" xfId="22869"/>
    <cellStyle name="Normal 12 20 2 4 3" xfId="22870"/>
    <cellStyle name="Normal 12 20 2 4 4" xfId="22871"/>
    <cellStyle name="Normal 12 20 2 5" xfId="22872"/>
    <cellStyle name="Normal 12 20 2 6" xfId="22873"/>
    <cellStyle name="Normal 12 20 2 7" xfId="22874"/>
    <cellStyle name="Normal 12 20 3" xfId="1520"/>
    <cellStyle name="Normal 12 20 3 2" xfId="22875"/>
    <cellStyle name="Normal 12 20 3 2 2" xfId="22876"/>
    <cellStyle name="Normal 12 20 3 2 3" xfId="22877"/>
    <cellStyle name="Normal 12 20 3 2 4" xfId="22878"/>
    <cellStyle name="Normal 12 20 3 3" xfId="22879"/>
    <cellStyle name="Normal 12 20 3 4" xfId="22880"/>
    <cellStyle name="Normal 12 20 3 5" xfId="22881"/>
    <cellStyle name="Normal 12 20 4" xfId="1521"/>
    <cellStyle name="Normal 12 20 4 2" xfId="22882"/>
    <cellStyle name="Normal 12 20 4 2 2" xfId="22883"/>
    <cellStyle name="Normal 12 20 4 2 3" xfId="22884"/>
    <cellStyle name="Normal 12 20 4 2 4" xfId="22885"/>
    <cellStyle name="Normal 12 20 4 3" xfId="22886"/>
    <cellStyle name="Normal 12 20 4 4" xfId="22887"/>
    <cellStyle name="Normal 12 20 4 5" xfId="22888"/>
    <cellStyle name="Normal 12 20 5" xfId="22889"/>
    <cellStyle name="Normal 12 20 5 2" xfId="22890"/>
    <cellStyle name="Normal 12 20 5 3" xfId="22891"/>
    <cellStyle name="Normal 12 20 5 4" xfId="22892"/>
    <cellStyle name="Normal 12 20 6" xfId="22893"/>
    <cellStyle name="Normal 12 20 7" xfId="22894"/>
    <cellStyle name="Normal 12 20 8" xfId="22895"/>
    <cellStyle name="Normal 12 21" xfId="1522"/>
    <cellStyle name="Normal 12 21 2" xfId="1523"/>
    <cellStyle name="Normal 12 21 2 2" xfId="22896"/>
    <cellStyle name="Normal 12 21 2 2 2" xfId="22897"/>
    <cellStyle name="Normal 12 21 2 2 3" xfId="22898"/>
    <cellStyle name="Normal 12 21 2 2 4" xfId="22899"/>
    <cellStyle name="Normal 12 21 2 3" xfId="22900"/>
    <cellStyle name="Normal 12 21 2 4" xfId="22901"/>
    <cellStyle name="Normal 12 21 2 5" xfId="22902"/>
    <cellStyle name="Normal 12 21 3" xfId="1524"/>
    <cellStyle name="Normal 12 21 3 2" xfId="22903"/>
    <cellStyle name="Normal 12 21 3 2 2" xfId="22904"/>
    <cellStyle name="Normal 12 21 3 2 3" xfId="22905"/>
    <cellStyle name="Normal 12 21 3 2 4" xfId="22906"/>
    <cellStyle name="Normal 12 21 3 3" xfId="22907"/>
    <cellStyle name="Normal 12 21 3 4" xfId="22908"/>
    <cellStyle name="Normal 12 21 3 5" xfId="22909"/>
    <cellStyle name="Normal 12 21 4" xfId="22910"/>
    <cellStyle name="Normal 12 21 4 2" xfId="22911"/>
    <cellStyle name="Normal 12 21 4 3" xfId="22912"/>
    <cellStyle name="Normal 12 21 4 4" xfId="22913"/>
    <cellStyle name="Normal 12 21 5" xfId="22914"/>
    <cellStyle name="Normal 12 21 6" xfId="22915"/>
    <cellStyle name="Normal 12 21 7" xfId="22916"/>
    <cellStyle name="Normal 12 22" xfId="1525"/>
    <cellStyle name="Normal 12 22 2" xfId="22917"/>
    <cellStyle name="Normal 12 22 2 2" xfId="22918"/>
    <cellStyle name="Normal 12 22 2 3" xfId="22919"/>
    <cellStyle name="Normal 12 22 2 4" xfId="22920"/>
    <cellStyle name="Normal 12 22 3" xfId="22921"/>
    <cellStyle name="Normal 12 22 4" xfId="22922"/>
    <cellStyle name="Normal 12 22 5" xfId="22923"/>
    <cellStyle name="Normal 12 23" xfId="1526"/>
    <cellStyle name="Normal 12 23 2" xfId="22924"/>
    <cellStyle name="Normal 12 23 2 2" xfId="22925"/>
    <cellStyle name="Normal 12 23 2 3" xfId="22926"/>
    <cellStyle name="Normal 12 23 2 4" xfId="22927"/>
    <cellStyle name="Normal 12 23 3" xfId="22928"/>
    <cellStyle name="Normal 12 23 4" xfId="22929"/>
    <cellStyle name="Normal 12 23 5" xfId="22930"/>
    <cellStyle name="Normal 12 24" xfId="22931"/>
    <cellStyle name="Normal 12 24 2" xfId="22932"/>
    <cellStyle name="Normal 12 24 3" xfId="22933"/>
    <cellStyle name="Normal 12 24 4" xfId="22934"/>
    <cellStyle name="Normal 12 25" xfId="22935"/>
    <cellStyle name="Normal 12 26" xfId="22936"/>
    <cellStyle name="Normal 12 27" xfId="22937"/>
    <cellStyle name="Normal 12 28" xfId="22938"/>
    <cellStyle name="Normal 12 29" xfId="40330"/>
    <cellStyle name="Normal 12 3" xfId="1527"/>
    <cellStyle name="Normal 12 3 2" xfId="1528"/>
    <cellStyle name="Normal 12 3 2 2" xfId="1529"/>
    <cellStyle name="Normal 12 3 2 2 2" xfId="1530"/>
    <cellStyle name="Normal 12 3 2 2 2 2" xfId="22939"/>
    <cellStyle name="Normal 12 3 2 2 2 2 2" xfId="22940"/>
    <cellStyle name="Normal 12 3 2 2 2 2 3" xfId="22941"/>
    <cellStyle name="Normal 12 3 2 2 2 2 4" xfId="22942"/>
    <cellStyle name="Normal 12 3 2 2 2 3" xfId="22943"/>
    <cellStyle name="Normal 12 3 2 2 2 4" xfId="22944"/>
    <cellStyle name="Normal 12 3 2 2 2 5" xfId="22945"/>
    <cellStyle name="Normal 12 3 2 2 3" xfId="1531"/>
    <cellStyle name="Normal 12 3 2 2 3 2" xfId="22946"/>
    <cellStyle name="Normal 12 3 2 2 3 2 2" xfId="22947"/>
    <cellStyle name="Normal 12 3 2 2 3 2 3" xfId="22948"/>
    <cellStyle name="Normal 12 3 2 2 3 2 4" xfId="22949"/>
    <cellStyle name="Normal 12 3 2 2 3 3" xfId="22950"/>
    <cellStyle name="Normal 12 3 2 2 3 4" xfId="22951"/>
    <cellStyle name="Normal 12 3 2 2 3 5" xfId="22952"/>
    <cellStyle name="Normal 12 3 2 2 4" xfId="22953"/>
    <cellStyle name="Normal 12 3 2 2 4 2" xfId="22954"/>
    <cellStyle name="Normal 12 3 2 2 4 3" xfId="22955"/>
    <cellStyle name="Normal 12 3 2 2 4 4" xfId="22956"/>
    <cellStyle name="Normal 12 3 2 2 5" xfId="22957"/>
    <cellStyle name="Normal 12 3 2 2 6" xfId="22958"/>
    <cellStyle name="Normal 12 3 2 2 7" xfId="22959"/>
    <cellStyle name="Normal 12 3 2 3" xfId="1532"/>
    <cellStyle name="Normal 12 3 2 3 2" xfId="22960"/>
    <cellStyle name="Normal 12 3 2 3 2 2" xfId="22961"/>
    <cellStyle name="Normal 12 3 2 3 2 3" xfId="22962"/>
    <cellStyle name="Normal 12 3 2 3 2 4" xfId="22963"/>
    <cellStyle name="Normal 12 3 2 3 3" xfId="22964"/>
    <cellStyle name="Normal 12 3 2 3 4" xfId="22965"/>
    <cellStyle name="Normal 12 3 2 3 5" xfId="22966"/>
    <cellStyle name="Normal 12 3 2 4" xfId="1533"/>
    <cellStyle name="Normal 12 3 2 4 2" xfId="22967"/>
    <cellStyle name="Normal 12 3 2 4 2 2" xfId="22968"/>
    <cellStyle name="Normal 12 3 2 4 2 3" xfId="22969"/>
    <cellStyle name="Normal 12 3 2 4 2 4" xfId="22970"/>
    <cellStyle name="Normal 12 3 2 4 3" xfId="22971"/>
    <cellStyle name="Normal 12 3 2 4 4" xfId="22972"/>
    <cellStyle name="Normal 12 3 2 4 5" xfId="22973"/>
    <cellStyle name="Normal 12 3 2 5" xfId="22974"/>
    <cellStyle name="Normal 12 3 2 5 2" xfId="22975"/>
    <cellStyle name="Normal 12 3 2 5 3" xfId="22976"/>
    <cellStyle name="Normal 12 3 2 5 4" xfId="22977"/>
    <cellStyle name="Normal 12 3 2 6" xfId="22978"/>
    <cellStyle name="Normal 12 3 2 7" xfId="22979"/>
    <cellStyle name="Normal 12 3 2 8" xfId="22980"/>
    <cellStyle name="Normal 12 3 3" xfId="1534"/>
    <cellStyle name="Normal 12 3 3 2" xfId="1535"/>
    <cellStyle name="Normal 12 3 3 2 2" xfId="22981"/>
    <cellStyle name="Normal 12 3 3 2 2 2" xfId="22982"/>
    <cellStyle name="Normal 12 3 3 2 2 3" xfId="22983"/>
    <cellStyle name="Normal 12 3 3 2 2 4" xfId="22984"/>
    <cellStyle name="Normal 12 3 3 2 3" xfId="22985"/>
    <cellStyle name="Normal 12 3 3 2 4" xfId="22986"/>
    <cellStyle name="Normal 12 3 3 2 5" xfId="22987"/>
    <cellStyle name="Normal 12 3 3 3" xfId="1536"/>
    <cellStyle name="Normal 12 3 3 3 2" xfId="22988"/>
    <cellStyle name="Normal 12 3 3 3 2 2" xfId="22989"/>
    <cellStyle name="Normal 12 3 3 3 2 3" xfId="22990"/>
    <cellStyle name="Normal 12 3 3 3 2 4" xfId="22991"/>
    <cellStyle name="Normal 12 3 3 3 3" xfId="22992"/>
    <cellStyle name="Normal 12 3 3 3 4" xfId="22993"/>
    <cellStyle name="Normal 12 3 3 3 5" xfId="22994"/>
    <cellStyle name="Normal 12 3 3 4" xfId="22995"/>
    <cellStyle name="Normal 12 3 3 4 2" xfId="22996"/>
    <cellStyle name="Normal 12 3 3 4 3" xfId="22997"/>
    <cellStyle name="Normal 12 3 3 4 4" xfId="22998"/>
    <cellStyle name="Normal 12 3 3 5" xfId="22999"/>
    <cellStyle name="Normal 12 3 3 6" xfId="23000"/>
    <cellStyle name="Normal 12 3 3 7" xfId="23001"/>
    <cellStyle name="Normal 12 3 4" xfId="1537"/>
    <cellStyle name="Normal 12 3 4 2" xfId="23002"/>
    <cellStyle name="Normal 12 3 4 2 2" xfId="23003"/>
    <cellStyle name="Normal 12 3 4 2 3" xfId="23004"/>
    <cellStyle name="Normal 12 3 4 2 4" xfId="23005"/>
    <cellStyle name="Normal 12 3 4 3" xfId="23006"/>
    <cellStyle name="Normal 12 3 4 4" xfId="23007"/>
    <cellStyle name="Normal 12 3 4 5" xfId="23008"/>
    <cellStyle name="Normal 12 3 5" xfId="1538"/>
    <cellStyle name="Normal 12 3 5 2" xfId="23009"/>
    <cellStyle name="Normal 12 3 5 2 2" xfId="23010"/>
    <cellStyle name="Normal 12 3 5 2 3" xfId="23011"/>
    <cellStyle name="Normal 12 3 5 2 4" xfId="23012"/>
    <cellStyle name="Normal 12 3 5 3" xfId="23013"/>
    <cellStyle name="Normal 12 3 5 4" xfId="23014"/>
    <cellStyle name="Normal 12 3 5 5" xfId="23015"/>
    <cellStyle name="Normal 12 3 6" xfId="23016"/>
    <cellStyle name="Normal 12 3 6 2" xfId="23017"/>
    <cellStyle name="Normal 12 3 6 3" xfId="23018"/>
    <cellStyle name="Normal 12 3 6 4" xfId="23019"/>
    <cellStyle name="Normal 12 3 7" xfId="23020"/>
    <cellStyle name="Normal 12 3 8" xfId="23021"/>
    <cellStyle name="Normal 12 3 9" xfId="23022"/>
    <cellStyle name="Normal 12 4" xfId="1539"/>
    <cellStyle name="Normal 12 4 2" xfId="1540"/>
    <cellStyle name="Normal 12 4 2 2" xfId="1541"/>
    <cellStyle name="Normal 12 4 2 2 2" xfId="1542"/>
    <cellStyle name="Normal 12 4 2 2 2 2" xfId="23023"/>
    <cellStyle name="Normal 12 4 2 2 2 2 2" xfId="23024"/>
    <cellStyle name="Normal 12 4 2 2 2 2 3" xfId="23025"/>
    <cellStyle name="Normal 12 4 2 2 2 2 4" xfId="23026"/>
    <cellStyle name="Normal 12 4 2 2 2 3" xfId="23027"/>
    <cellStyle name="Normal 12 4 2 2 2 4" xfId="23028"/>
    <cellStyle name="Normal 12 4 2 2 2 5" xfId="23029"/>
    <cellStyle name="Normal 12 4 2 2 3" xfId="1543"/>
    <cellStyle name="Normal 12 4 2 2 3 2" xfId="23030"/>
    <cellStyle name="Normal 12 4 2 2 3 2 2" xfId="23031"/>
    <cellStyle name="Normal 12 4 2 2 3 2 3" xfId="23032"/>
    <cellStyle name="Normal 12 4 2 2 3 2 4" xfId="23033"/>
    <cellStyle name="Normal 12 4 2 2 3 3" xfId="23034"/>
    <cellStyle name="Normal 12 4 2 2 3 4" xfId="23035"/>
    <cellStyle name="Normal 12 4 2 2 3 5" xfId="23036"/>
    <cellStyle name="Normal 12 4 2 2 4" xfId="23037"/>
    <cellStyle name="Normal 12 4 2 2 4 2" xfId="23038"/>
    <cellStyle name="Normal 12 4 2 2 4 3" xfId="23039"/>
    <cellStyle name="Normal 12 4 2 2 4 4" xfId="23040"/>
    <cellStyle name="Normal 12 4 2 2 5" xfId="23041"/>
    <cellStyle name="Normal 12 4 2 2 6" xfId="23042"/>
    <cellStyle name="Normal 12 4 2 2 7" xfId="23043"/>
    <cellStyle name="Normal 12 4 2 3" xfId="1544"/>
    <cellStyle name="Normal 12 4 2 3 2" xfId="23044"/>
    <cellStyle name="Normal 12 4 2 3 2 2" xfId="23045"/>
    <cellStyle name="Normal 12 4 2 3 2 3" xfId="23046"/>
    <cellStyle name="Normal 12 4 2 3 2 4" xfId="23047"/>
    <cellStyle name="Normal 12 4 2 3 3" xfId="23048"/>
    <cellStyle name="Normal 12 4 2 3 4" xfId="23049"/>
    <cellStyle name="Normal 12 4 2 3 5" xfId="23050"/>
    <cellStyle name="Normal 12 4 2 4" xfId="1545"/>
    <cellStyle name="Normal 12 4 2 4 2" xfId="23051"/>
    <cellStyle name="Normal 12 4 2 4 2 2" xfId="23052"/>
    <cellStyle name="Normal 12 4 2 4 2 3" xfId="23053"/>
    <cellStyle name="Normal 12 4 2 4 2 4" xfId="23054"/>
    <cellStyle name="Normal 12 4 2 4 3" xfId="23055"/>
    <cellStyle name="Normal 12 4 2 4 4" xfId="23056"/>
    <cellStyle name="Normal 12 4 2 4 5" xfId="23057"/>
    <cellStyle name="Normal 12 4 2 5" xfId="23058"/>
    <cellStyle name="Normal 12 4 2 5 2" xfId="23059"/>
    <cellStyle name="Normal 12 4 2 5 3" xfId="23060"/>
    <cellStyle name="Normal 12 4 2 5 4" xfId="23061"/>
    <cellStyle name="Normal 12 4 2 6" xfId="23062"/>
    <cellStyle name="Normal 12 4 2 7" xfId="23063"/>
    <cellStyle name="Normal 12 4 2 8" xfId="23064"/>
    <cellStyle name="Normal 12 4 3" xfId="1546"/>
    <cellStyle name="Normal 12 4 3 2" xfId="1547"/>
    <cellStyle name="Normal 12 4 3 2 2" xfId="23065"/>
    <cellStyle name="Normal 12 4 3 2 2 2" xfId="23066"/>
    <cellStyle name="Normal 12 4 3 2 2 3" xfId="23067"/>
    <cellStyle name="Normal 12 4 3 2 2 4" xfId="23068"/>
    <cellStyle name="Normal 12 4 3 2 3" xfId="23069"/>
    <cellStyle name="Normal 12 4 3 2 4" xfId="23070"/>
    <cellStyle name="Normal 12 4 3 2 5" xfId="23071"/>
    <cellStyle name="Normal 12 4 3 3" xfId="1548"/>
    <cellStyle name="Normal 12 4 3 3 2" xfId="23072"/>
    <cellStyle name="Normal 12 4 3 3 2 2" xfId="23073"/>
    <cellStyle name="Normal 12 4 3 3 2 3" xfId="23074"/>
    <cellStyle name="Normal 12 4 3 3 2 4" xfId="23075"/>
    <cellStyle name="Normal 12 4 3 3 3" xfId="23076"/>
    <cellStyle name="Normal 12 4 3 3 4" xfId="23077"/>
    <cellStyle name="Normal 12 4 3 3 5" xfId="23078"/>
    <cellStyle name="Normal 12 4 3 4" xfId="23079"/>
    <cellStyle name="Normal 12 4 3 4 2" xfId="23080"/>
    <cellStyle name="Normal 12 4 3 4 3" xfId="23081"/>
    <cellStyle name="Normal 12 4 3 4 4" xfId="23082"/>
    <cellStyle name="Normal 12 4 3 5" xfId="23083"/>
    <cellStyle name="Normal 12 4 3 6" xfId="23084"/>
    <cellStyle name="Normal 12 4 3 7" xfId="23085"/>
    <cellStyle name="Normal 12 4 4" xfId="1549"/>
    <cellStyle name="Normal 12 4 4 2" xfId="23086"/>
    <cellStyle name="Normal 12 4 4 2 2" xfId="23087"/>
    <cellStyle name="Normal 12 4 4 2 3" xfId="23088"/>
    <cellStyle name="Normal 12 4 4 2 4" xfId="23089"/>
    <cellStyle name="Normal 12 4 4 3" xfId="23090"/>
    <cellStyle name="Normal 12 4 4 4" xfId="23091"/>
    <cellStyle name="Normal 12 4 4 5" xfId="23092"/>
    <cellStyle name="Normal 12 4 5" xfId="1550"/>
    <cellStyle name="Normal 12 4 5 2" xfId="23093"/>
    <cellStyle name="Normal 12 4 5 2 2" xfId="23094"/>
    <cellStyle name="Normal 12 4 5 2 3" xfId="23095"/>
    <cellStyle name="Normal 12 4 5 2 4" xfId="23096"/>
    <cellStyle name="Normal 12 4 5 3" xfId="23097"/>
    <cellStyle name="Normal 12 4 5 4" xfId="23098"/>
    <cellStyle name="Normal 12 4 5 5" xfId="23099"/>
    <cellStyle name="Normal 12 4 6" xfId="23100"/>
    <cellStyle name="Normal 12 4 6 2" xfId="23101"/>
    <cellStyle name="Normal 12 4 6 3" xfId="23102"/>
    <cellStyle name="Normal 12 4 6 4" xfId="23103"/>
    <cellStyle name="Normal 12 4 7" xfId="23104"/>
    <cellStyle name="Normal 12 4 8" xfId="23105"/>
    <cellStyle name="Normal 12 4 9" xfId="23106"/>
    <cellStyle name="Normal 12 5" xfId="1551"/>
    <cellStyle name="Normal 12 5 2" xfId="1552"/>
    <cellStyle name="Normal 12 5 2 2" xfId="1553"/>
    <cellStyle name="Normal 12 5 2 2 2" xfId="1554"/>
    <cellStyle name="Normal 12 5 2 2 2 2" xfId="23107"/>
    <cellStyle name="Normal 12 5 2 2 2 2 2" xfId="23108"/>
    <cellStyle name="Normal 12 5 2 2 2 2 3" xfId="23109"/>
    <cellStyle name="Normal 12 5 2 2 2 2 4" xfId="23110"/>
    <cellStyle name="Normal 12 5 2 2 2 3" xfId="23111"/>
    <cellStyle name="Normal 12 5 2 2 2 4" xfId="23112"/>
    <cellStyle name="Normal 12 5 2 2 2 5" xfId="23113"/>
    <cellStyle name="Normal 12 5 2 2 3" xfId="1555"/>
    <cellStyle name="Normal 12 5 2 2 3 2" xfId="23114"/>
    <cellStyle name="Normal 12 5 2 2 3 2 2" xfId="23115"/>
    <cellStyle name="Normal 12 5 2 2 3 2 3" xfId="23116"/>
    <cellStyle name="Normal 12 5 2 2 3 2 4" xfId="23117"/>
    <cellStyle name="Normal 12 5 2 2 3 3" xfId="23118"/>
    <cellStyle name="Normal 12 5 2 2 3 4" xfId="23119"/>
    <cellStyle name="Normal 12 5 2 2 3 5" xfId="23120"/>
    <cellStyle name="Normal 12 5 2 2 4" xfId="23121"/>
    <cellStyle name="Normal 12 5 2 2 4 2" xfId="23122"/>
    <cellStyle name="Normal 12 5 2 2 4 3" xfId="23123"/>
    <cellStyle name="Normal 12 5 2 2 4 4" xfId="23124"/>
    <cellStyle name="Normal 12 5 2 2 5" xfId="23125"/>
    <cellStyle name="Normal 12 5 2 2 6" xfId="23126"/>
    <cellStyle name="Normal 12 5 2 2 7" xfId="23127"/>
    <cellStyle name="Normal 12 5 2 3" xfId="1556"/>
    <cellStyle name="Normal 12 5 2 3 2" xfId="23128"/>
    <cellStyle name="Normal 12 5 2 3 2 2" xfId="23129"/>
    <cellStyle name="Normal 12 5 2 3 2 3" xfId="23130"/>
    <cellStyle name="Normal 12 5 2 3 2 4" xfId="23131"/>
    <cellStyle name="Normal 12 5 2 3 3" xfId="23132"/>
    <cellStyle name="Normal 12 5 2 3 4" xfId="23133"/>
    <cellStyle name="Normal 12 5 2 3 5" xfId="23134"/>
    <cellStyle name="Normal 12 5 2 4" xfId="1557"/>
    <cellStyle name="Normal 12 5 2 4 2" xfId="23135"/>
    <cellStyle name="Normal 12 5 2 4 2 2" xfId="23136"/>
    <cellStyle name="Normal 12 5 2 4 2 3" xfId="23137"/>
    <cellStyle name="Normal 12 5 2 4 2 4" xfId="23138"/>
    <cellStyle name="Normal 12 5 2 4 3" xfId="23139"/>
    <cellStyle name="Normal 12 5 2 4 4" xfId="23140"/>
    <cellStyle name="Normal 12 5 2 4 5" xfId="23141"/>
    <cellStyle name="Normal 12 5 2 5" xfId="23142"/>
    <cellStyle name="Normal 12 5 2 5 2" xfId="23143"/>
    <cellStyle name="Normal 12 5 2 5 3" xfId="23144"/>
    <cellStyle name="Normal 12 5 2 5 4" xfId="23145"/>
    <cellStyle name="Normal 12 5 2 6" xfId="23146"/>
    <cellStyle name="Normal 12 5 2 7" xfId="23147"/>
    <cellStyle name="Normal 12 5 2 8" xfId="23148"/>
    <cellStyle name="Normal 12 5 3" xfId="1558"/>
    <cellStyle name="Normal 12 5 3 2" xfId="1559"/>
    <cellStyle name="Normal 12 5 3 2 2" xfId="23149"/>
    <cellStyle name="Normal 12 5 3 2 2 2" xfId="23150"/>
    <cellStyle name="Normal 12 5 3 2 2 3" xfId="23151"/>
    <cellStyle name="Normal 12 5 3 2 2 4" xfId="23152"/>
    <cellStyle name="Normal 12 5 3 2 3" xfId="23153"/>
    <cellStyle name="Normal 12 5 3 2 4" xfId="23154"/>
    <cellStyle name="Normal 12 5 3 2 5" xfId="23155"/>
    <cellStyle name="Normal 12 5 3 3" xfId="1560"/>
    <cellStyle name="Normal 12 5 3 3 2" xfId="23156"/>
    <cellStyle name="Normal 12 5 3 3 2 2" xfId="23157"/>
    <cellStyle name="Normal 12 5 3 3 2 3" xfId="23158"/>
    <cellStyle name="Normal 12 5 3 3 2 4" xfId="23159"/>
    <cellStyle name="Normal 12 5 3 3 3" xfId="23160"/>
    <cellStyle name="Normal 12 5 3 3 4" xfId="23161"/>
    <cellStyle name="Normal 12 5 3 3 5" xfId="23162"/>
    <cellStyle name="Normal 12 5 3 4" xfId="23163"/>
    <cellStyle name="Normal 12 5 3 4 2" xfId="23164"/>
    <cellStyle name="Normal 12 5 3 4 3" xfId="23165"/>
    <cellStyle name="Normal 12 5 3 4 4" xfId="23166"/>
    <cellStyle name="Normal 12 5 3 5" xfId="23167"/>
    <cellStyle name="Normal 12 5 3 6" xfId="23168"/>
    <cellStyle name="Normal 12 5 3 7" xfId="23169"/>
    <cellStyle name="Normal 12 5 4" xfId="1561"/>
    <cellStyle name="Normal 12 5 4 2" xfId="23170"/>
    <cellStyle name="Normal 12 5 4 2 2" xfId="23171"/>
    <cellStyle name="Normal 12 5 4 2 3" xfId="23172"/>
    <cellStyle name="Normal 12 5 4 2 4" xfId="23173"/>
    <cellStyle name="Normal 12 5 4 3" xfId="23174"/>
    <cellStyle name="Normal 12 5 4 4" xfId="23175"/>
    <cellStyle name="Normal 12 5 4 5" xfId="23176"/>
    <cellStyle name="Normal 12 5 5" xfId="1562"/>
    <cellStyle name="Normal 12 5 5 2" xfId="23177"/>
    <cellStyle name="Normal 12 5 5 2 2" xfId="23178"/>
    <cellStyle name="Normal 12 5 5 2 3" xfId="23179"/>
    <cellStyle name="Normal 12 5 5 2 4" xfId="23180"/>
    <cellStyle name="Normal 12 5 5 3" xfId="23181"/>
    <cellStyle name="Normal 12 5 5 4" xfId="23182"/>
    <cellStyle name="Normal 12 5 5 5" xfId="23183"/>
    <cellStyle name="Normal 12 5 6" xfId="23184"/>
    <cellStyle name="Normal 12 5 6 2" xfId="23185"/>
    <cellStyle name="Normal 12 5 6 3" xfId="23186"/>
    <cellStyle name="Normal 12 5 6 4" xfId="23187"/>
    <cellStyle name="Normal 12 5 7" xfId="23188"/>
    <cellStyle name="Normal 12 5 8" xfId="23189"/>
    <cellStyle name="Normal 12 5 9" xfId="23190"/>
    <cellStyle name="Normal 12 6" xfId="1563"/>
    <cellStyle name="Normal 12 6 2" xfId="1564"/>
    <cellStyle name="Normal 12 6 2 2" xfId="1565"/>
    <cellStyle name="Normal 12 6 2 2 2" xfId="1566"/>
    <cellStyle name="Normal 12 6 2 2 2 2" xfId="23191"/>
    <cellStyle name="Normal 12 6 2 2 2 2 2" xfId="23192"/>
    <cellStyle name="Normal 12 6 2 2 2 2 3" xfId="23193"/>
    <cellStyle name="Normal 12 6 2 2 2 2 4" xfId="23194"/>
    <cellStyle name="Normal 12 6 2 2 2 3" xfId="23195"/>
    <cellStyle name="Normal 12 6 2 2 2 4" xfId="23196"/>
    <cellStyle name="Normal 12 6 2 2 2 5" xfId="23197"/>
    <cellStyle name="Normal 12 6 2 2 3" xfId="1567"/>
    <cellStyle name="Normal 12 6 2 2 3 2" xfId="23198"/>
    <cellStyle name="Normal 12 6 2 2 3 2 2" xfId="23199"/>
    <cellStyle name="Normal 12 6 2 2 3 2 3" xfId="23200"/>
    <cellStyle name="Normal 12 6 2 2 3 2 4" xfId="23201"/>
    <cellStyle name="Normal 12 6 2 2 3 3" xfId="23202"/>
    <cellStyle name="Normal 12 6 2 2 3 4" xfId="23203"/>
    <cellStyle name="Normal 12 6 2 2 3 5" xfId="23204"/>
    <cellStyle name="Normal 12 6 2 2 4" xfId="23205"/>
    <cellStyle name="Normal 12 6 2 2 4 2" xfId="23206"/>
    <cellStyle name="Normal 12 6 2 2 4 3" xfId="23207"/>
    <cellStyle name="Normal 12 6 2 2 4 4" xfId="23208"/>
    <cellStyle name="Normal 12 6 2 2 5" xfId="23209"/>
    <cellStyle name="Normal 12 6 2 2 6" xfId="23210"/>
    <cellStyle name="Normal 12 6 2 2 7" xfId="23211"/>
    <cellStyle name="Normal 12 6 2 3" xfId="1568"/>
    <cellStyle name="Normal 12 6 2 3 2" xfId="23212"/>
    <cellStyle name="Normal 12 6 2 3 2 2" xfId="23213"/>
    <cellStyle name="Normal 12 6 2 3 2 3" xfId="23214"/>
    <cellStyle name="Normal 12 6 2 3 2 4" xfId="23215"/>
    <cellStyle name="Normal 12 6 2 3 3" xfId="23216"/>
    <cellStyle name="Normal 12 6 2 3 4" xfId="23217"/>
    <cellStyle name="Normal 12 6 2 3 5" xfId="23218"/>
    <cellStyle name="Normal 12 6 2 4" xfId="1569"/>
    <cellStyle name="Normal 12 6 2 4 2" xfId="23219"/>
    <cellStyle name="Normal 12 6 2 4 2 2" xfId="23220"/>
    <cellStyle name="Normal 12 6 2 4 2 3" xfId="23221"/>
    <cellStyle name="Normal 12 6 2 4 2 4" xfId="23222"/>
    <cellStyle name="Normal 12 6 2 4 3" xfId="23223"/>
    <cellStyle name="Normal 12 6 2 4 4" xfId="23224"/>
    <cellStyle name="Normal 12 6 2 4 5" xfId="23225"/>
    <cellStyle name="Normal 12 6 2 5" xfId="23226"/>
    <cellStyle name="Normal 12 6 2 5 2" xfId="23227"/>
    <cellStyle name="Normal 12 6 2 5 3" xfId="23228"/>
    <cellStyle name="Normal 12 6 2 5 4" xfId="23229"/>
    <cellStyle name="Normal 12 6 2 6" xfId="23230"/>
    <cellStyle name="Normal 12 6 2 7" xfId="23231"/>
    <cellStyle name="Normal 12 6 2 8" xfId="23232"/>
    <cellStyle name="Normal 12 6 3" xfId="1570"/>
    <cellStyle name="Normal 12 6 3 2" xfId="1571"/>
    <cellStyle name="Normal 12 6 3 2 2" xfId="23233"/>
    <cellStyle name="Normal 12 6 3 2 2 2" xfId="23234"/>
    <cellStyle name="Normal 12 6 3 2 2 3" xfId="23235"/>
    <cellStyle name="Normal 12 6 3 2 2 4" xfId="23236"/>
    <cellStyle name="Normal 12 6 3 2 3" xfId="23237"/>
    <cellStyle name="Normal 12 6 3 2 4" xfId="23238"/>
    <cellStyle name="Normal 12 6 3 2 5" xfId="23239"/>
    <cellStyle name="Normal 12 6 3 3" xfId="1572"/>
    <cellStyle name="Normal 12 6 3 3 2" xfId="23240"/>
    <cellStyle name="Normal 12 6 3 3 2 2" xfId="23241"/>
    <cellStyle name="Normal 12 6 3 3 2 3" xfId="23242"/>
    <cellStyle name="Normal 12 6 3 3 2 4" xfId="23243"/>
    <cellStyle name="Normal 12 6 3 3 3" xfId="23244"/>
    <cellStyle name="Normal 12 6 3 3 4" xfId="23245"/>
    <cellStyle name="Normal 12 6 3 3 5" xfId="23246"/>
    <cellStyle name="Normal 12 6 3 4" xfId="23247"/>
    <cellStyle name="Normal 12 6 3 4 2" xfId="23248"/>
    <cellStyle name="Normal 12 6 3 4 3" xfId="23249"/>
    <cellStyle name="Normal 12 6 3 4 4" xfId="23250"/>
    <cellStyle name="Normal 12 6 3 5" xfId="23251"/>
    <cellStyle name="Normal 12 6 3 6" xfId="23252"/>
    <cellStyle name="Normal 12 6 3 7" xfId="23253"/>
    <cellStyle name="Normal 12 6 4" xfId="1573"/>
    <cellStyle name="Normal 12 6 4 2" xfId="23254"/>
    <cellStyle name="Normal 12 6 4 2 2" xfId="23255"/>
    <cellStyle name="Normal 12 6 4 2 3" xfId="23256"/>
    <cellStyle name="Normal 12 6 4 2 4" xfId="23257"/>
    <cellStyle name="Normal 12 6 4 3" xfId="23258"/>
    <cellStyle name="Normal 12 6 4 4" xfId="23259"/>
    <cellStyle name="Normal 12 6 4 5" xfId="23260"/>
    <cellStyle name="Normal 12 6 5" xfId="1574"/>
    <cellStyle name="Normal 12 6 5 2" xfId="23261"/>
    <cellStyle name="Normal 12 6 5 2 2" xfId="23262"/>
    <cellStyle name="Normal 12 6 5 2 3" xfId="23263"/>
    <cellStyle name="Normal 12 6 5 2 4" xfId="23264"/>
    <cellStyle name="Normal 12 6 5 3" xfId="23265"/>
    <cellStyle name="Normal 12 6 5 4" xfId="23266"/>
    <cellStyle name="Normal 12 6 5 5" xfId="23267"/>
    <cellStyle name="Normal 12 6 6" xfId="23268"/>
    <cellStyle name="Normal 12 6 6 2" xfId="23269"/>
    <cellStyle name="Normal 12 6 6 3" xfId="23270"/>
    <cellStyle name="Normal 12 6 6 4" xfId="23271"/>
    <cellStyle name="Normal 12 6 7" xfId="23272"/>
    <cellStyle name="Normal 12 6 8" xfId="23273"/>
    <cellStyle name="Normal 12 6 9" xfId="23274"/>
    <cellStyle name="Normal 12 7" xfId="1575"/>
    <cellStyle name="Normal 12 7 2" xfId="1576"/>
    <cellStyle name="Normal 12 7 2 2" xfId="1577"/>
    <cellStyle name="Normal 12 7 2 2 2" xfId="1578"/>
    <cellStyle name="Normal 12 7 2 2 2 2" xfId="23275"/>
    <cellStyle name="Normal 12 7 2 2 2 2 2" xfId="23276"/>
    <cellStyle name="Normal 12 7 2 2 2 2 3" xfId="23277"/>
    <cellStyle name="Normal 12 7 2 2 2 2 4" xfId="23278"/>
    <cellStyle name="Normal 12 7 2 2 2 3" xfId="23279"/>
    <cellStyle name="Normal 12 7 2 2 2 4" xfId="23280"/>
    <cellStyle name="Normal 12 7 2 2 2 5" xfId="23281"/>
    <cellStyle name="Normal 12 7 2 2 3" xfId="1579"/>
    <cellStyle name="Normal 12 7 2 2 3 2" xfId="23282"/>
    <cellStyle name="Normal 12 7 2 2 3 2 2" xfId="23283"/>
    <cellStyle name="Normal 12 7 2 2 3 2 3" xfId="23284"/>
    <cellStyle name="Normal 12 7 2 2 3 2 4" xfId="23285"/>
    <cellStyle name="Normal 12 7 2 2 3 3" xfId="23286"/>
    <cellStyle name="Normal 12 7 2 2 3 4" xfId="23287"/>
    <cellStyle name="Normal 12 7 2 2 3 5" xfId="23288"/>
    <cellStyle name="Normal 12 7 2 2 4" xfId="23289"/>
    <cellStyle name="Normal 12 7 2 2 4 2" xfId="23290"/>
    <cellStyle name="Normal 12 7 2 2 4 3" xfId="23291"/>
    <cellStyle name="Normal 12 7 2 2 4 4" xfId="23292"/>
    <cellStyle name="Normal 12 7 2 2 5" xfId="23293"/>
    <cellStyle name="Normal 12 7 2 2 6" xfId="23294"/>
    <cellStyle name="Normal 12 7 2 2 7" xfId="23295"/>
    <cellStyle name="Normal 12 7 2 3" xfId="1580"/>
    <cellStyle name="Normal 12 7 2 3 2" xfId="23296"/>
    <cellStyle name="Normal 12 7 2 3 2 2" xfId="23297"/>
    <cellStyle name="Normal 12 7 2 3 2 3" xfId="23298"/>
    <cellStyle name="Normal 12 7 2 3 2 4" xfId="23299"/>
    <cellStyle name="Normal 12 7 2 3 3" xfId="23300"/>
    <cellStyle name="Normal 12 7 2 3 4" xfId="23301"/>
    <cellStyle name="Normal 12 7 2 3 5" xfId="23302"/>
    <cellStyle name="Normal 12 7 2 4" xfId="1581"/>
    <cellStyle name="Normal 12 7 2 4 2" xfId="23303"/>
    <cellStyle name="Normal 12 7 2 4 2 2" xfId="23304"/>
    <cellStyle name="Normal 12 7 2 4 2 3" xfId="23305"/>
    <cellStyle name="Normal 12 7 2 4 2 4" xfId="23306"/>
    <cellStyle name="Normal 12 7 2 4 3" xfId="23307"/>
    <cellStyle name="Normal 12 7 2 4 4" xfId="23308"/>
    <cellStyle name="Normal 12 7 2 4 5" xfId="23309"/>
    <cellStyle name="Normal 12 7 2 5" xfId="23310"/>
    <cellStyle name="Normal 12 7 2 5 2" xfId="23311"/>
    <cellStyle name="Normal 12 7 2 5 3" xfId="23312"/>
    <cellStyle name="Normal 12 7 2 5 4" xfId="23313"/>
    <cellStyle name="Normal 12 7 2 6" xfId="23314"/>
    <cellStyle name="Normal 12 7 2 7" xfId="23315"/>
    <cellStyle name="Normal 12 7 2 8" xfId="23316"/>
    <cellStyle name="Normal 12 7 3" xfId="1582"/>
    <cellStyle name="Normal 12 7 3 2" xfId="1583"/>
    <cellStyle name="Normal 12 7 3 2 2" xfId="23317"/>
    <cellStyle name="Normal 12 7 3 2 2 2" xfId="23318"/>
    <cellStyle name="Normal 12 7 3 2 2 3" xfId="23319"/>
    <cellStyle name="Normal 12 7 3 2 2 4" xfId="23320"/>
    <cellStyle name="Normal 12 7 3 2 3" xfId="23321"/>
    <cellStyle name="Normal 12 7 3 2 4" xfId="23322"/>
    <cellStyle name="Normal 12 7 3 2 5" xfId="23323"/>
    <cellStyle name="Normal 12 7 3 3" xfId="1584"/>
    <cellStyle name="Normal 12 7 3 3 2" xfId="23324"/>
    <cellStyle name="Normal 12 7 3 3 2 2" xfId="23325"/>
    <cellStyle name="Normal 12 7 3 3 2 3" xfId="23326"/>
    <cellStyle name="Normal 12 7 3 3 2 4" xfId="23327"/>
    <cellStyle name="Normal 12 7 3 3 3" xfId="23328"/>
    <cellStyle name="Normal 12 7 3 3 4" xfId="23329"/>
    <cellStyle name="Normal 12 7 3 3 5" xfId="23330"/>
    <cellStyle name="Normal 12 7 3 4" xfId="23331"/>
    <cellStyle name="Normal 12 7 3 4 2" xfId="23332"/>
    <cellStyle name="Normal 12 7 3 4 3" xfId="23333"/>
    <cellStyle name="Normal 12 7 3 4 4" xfId="23334"/>
    <cellStyle name="Normal 12 7 3 5" xfId="23335"/>
    <cellStyle name="Normal 12 7 3 6" xfId="23336"/>
    <cellStyle name="Normal 12 7 3 7" xfId="23337"/>
    <cellStyle name="Normal 12 7 4" xfId="1585"/>
    <cellStyle name="Normal 12 7 4 2" xfId="23338"/>
    <cellStyle name="Normal 12 7 4 2 2" xfId="23339"/>
    <cellStyle name="Normal 12 7 4 2 3" xfId="23340"/>
    <cellStyle name="Normal 12 7 4 2 4" xfId="23341"/>
    <cellStyle name="Normal 12 7 4 3" xfId="23342"/>
    <cellStyle name="Normal 12 7 4 4" xfId="23343"/>
    <cellStyle name="Normal 12 7 4 5" xfId="23344"/>
    <cellStyle name="Normal 12 7 5" xfId="1586"/>
    <cellStyle name="Normal 12 7 5 2" xfId="23345"/>
    <cellStyle name="Normal 12 7 5 2 2" xfId="23346"/>
    <cellStyle name="Normal 12 7 5 2 3" xfId="23347"/>
    <cellStyle name="Normal 12 7 5 2 4" xfId="23348"/>
    <cellStyle name="Normal 12 7 5 3" xfId="23349"/>
    <cellStyle name="Normal 12 7 5 4" xfId="23350"/>
    <cellStyle name="Normal 12 7 5 5" xfId="23351"/>
    <cellStyle name="Normal 12 7 6" xfId="23352"/>
    <cellStyle name="Normal 12 7 6 2" xfId="23353"/>
    <cellStyle name="Normal 12 7 6 3" xfId="23354"/>
    <cellStyle name="Normal 12 7 6 4" xfId="23355"/>
    <cellStyle name="Normal 12 7 7" xfId="23356"/>
    <cellStyle name="Normal 12 7 8" xfId="23357"/>
    <cellStyle name="Normal 12 7 9" xfId="23358"/>
    <cellStyle name="Normal 12 8" xfId="1587"/>
    <cellStyle name="Normal 12 8 2" xfId="1588"/>
    <cellStyle name="Normal 12 8 2 2" xfId="1589"/>
    <cellStyle name="Normal 12 8 2 2 2" xfId="1590"/>
    <cellStyle name="Normal 12 8 2 2 2 2" xfId="23359"/>
    <cellStyle name="Normal 12 8 2 2 2 2 2" xfId="23360"/>
    <cellStyle name="Normal 12 8 2 2 2 2 3" xfId="23361"/>
    <cellStyle name="Normal 12 8 2 2 2 2 4" xfId="23362"/>
    <cellStyle name="Normal 12 8 2 2 2 3" xfId="23363"/>
    <cellStyle name="Normal 12 8 2 2 2 4" xfId="23364"/>
    <cellStyle name="Normal 12 8 2 2 2 5" xfId="23365"/>
    <cellStyle name="Normal 12 8 2 2 3" xfId="1591"/>
    <cellStyle name="Normal 12 8 2 2 3 2" xfId="23366"/>
    <cellStyle name="Normal 12 8 2 2 3 2 2" xfId="23367"/>
    <cellStyle name="Normal 12 8 2 2 3 2 3" xfId="23368"/>
    <cellStyle name="Normal 12 8 2 2 3 2 4" xfId="23369"/>
    <cellStyle name="Normal 12 8 2 2 3 3" xfId="23370"/>
    <cellStyle name="Normal 12 8 2 2 3 4" xfId="23371"/>
    <cellStyle name="Normal 12 8 2 2 3 5" xfId="23372"/>
    <cellStyle name="Normal 12 8 2 2 4" xfId="23373"/>
    <cellStyle name="Normal 12 8 2 2 4 2" xfId="23374"/>
    <cellStyle name="Normal 12 8 2 2 4 3" xfId="23375"/>
    <cellStyle name="Normal 12 8 2 2 4 4" xfId="23376"/>
    <cellStyle name="Normal 12 8 2 2 5" xfId="23377"/>
    <cellStyle name="Normal 12 8 2 2 6" xfId="23378"/>
    <cellStyle name="Normal 12 8 2 2 7" xfId="23379"/>
    <cellStyle name="Normal 12 8 2 3" xfId="1592"/>
    <cellStyle name="Normal 12 8 2 3 2" xfId="23380"/>
    <cellStyle name="Normal 12 8 2 3 2 2" xfId="23381"/>
    <cellStyle name="Normal 12 8 2 3 2 3" xfId="23382"/>
    <cellStyle name="Normal 12 8 2 3 2 4" xfId="23383"/>
    <cellStyle name="Normal 12 8 2 3 3" xfId="23384"/>
    <cellStyle name="Normal 12 8 2 3 4" xfId="23385"/>
    <cellStyle name="Normal 12 8 2 3 5" xfId="23386"/>
    <cellStyle name="Normal 12 8 2 4" xfId="1593"/>
    <cellStyle name="Normal 12 8 2 4 2" xfId="23387"/>
    <cellStyle name="Normal 12 8 2 4 2 2" xfId="23388"/>
    <cellStyle name="Normal 12 8 2 4 2 3" xfId="23389"/>
    <cellStyle name="Normal 12 8 2 4 2 4" xfId="23390"/>
    <cellStyle name="Normal 12 8 2 4 3" xfId="23391"/>
    <cellStyle name="Normal 12 8 2 4 4" xfId="23392"/>
    <cellStyle name="Normal 12 8 2 4 5" xfId="23393"/>
    <cellStyle name="Normal 12 8 2 5" xfId="23394"/>
    <cellStyle name="Normal 12 8 2 5 2" xfId="23395"/>
    <cellStyle name="Normal 12 8 2 5 3" xfId="23396"/>
    <cellStyle name="Normal 12 8 2 5 4" xfId="23397"/>
    <cellStyle name="Normal 12 8 2 6" xfId="23398"/>
    <cellStyle name="Normal 12 8 2 7" xfId="23399"/>
    <cellStyle name="Normal 12 8 2 8" xfId="23400"/>
    <cellStyle name="Normal 12 8 3" xfId="1594"/>
    <cellStyle name="Normal 12 8 3 2" xfId="1595"/>
    <cellStyle name="Normal 12 8 3 2 2" xfId="23401"/>
    <cellStyle name="Normal 12 8 3 2 2 2" xfId="23402"/>
    <cellStyle name="Normal 12 8 3 2 2 3" xfId="23403"/>
    <cellStyle name="Normal 12 8 3 2 2 4" xfId="23404"/>
    <cellStyle name="Normal 12 8 3 2 3" xfId="23405"/>
    <cellStyle name="Normal 12 8 3 2 4" xfId="23406"/>
    <cellStyle name="Normal 12 8 3 2 5" xfId="23407"/>
    <cellStyle name="Normal 12 8 3 3" xfId="1596"/>
    <cellStyle name="Normal 12 8 3 3 2" xfId="23408"/>
    <cellStyle name="Normal 12 8 3 3 2 2" xfId="23409"/>
    <cellStyle name="Normal 12 8 3 3 2 3" xfId="23410"/>
    <cellStyle name="Normal 12 8 3 3 2 4" xfId="23411"/>
    <cellStyle name="Normal 12 8 3 3 3" xfId="23412"/>
    <cellStyle name="Normal 12 8 3 3 4" xfId="23413"/>
    <cellStyle name="Normal 12 8 3 3 5" xfId="23414"/>
    <cellStyle name="Normal 12 8 3 4" xfId="23415"/>
    <cellStyle name="Normal 12 8 3 4 2" xfId="23416"/>
    <cellStyle name="Normal 12 8 3 4 3" xfId="23417"/>
    <cellStyle name="Normal 12 8 3 4 4" xfId="23418"/>
    <cellStyle name="Normal 12 8 3 5" xfId="23419"/>
    <cellStyle name="Normal 12 8 3 6" xfId="23420"/>
    <cellStyle name="Normal 12 8 3 7" xfId="23421"/>
    <cellStyle name="Normal 12 8 4" xfId="1597"/>
    <cellStyle name="Normal 12 8 4 2" xfId="23422"/>
    <cellStyle name="Normal 12 8 4 2 2" xfId="23423"/>
    <cellStyle name="Normal 12 8 4 2 3" xfId="23424"/>
    <cellStyle name="Normal 12 8 4 2 4" xfId="23425"/>
    <cellStyle name="Normal 12 8 4 3" xfId="23426"/>
    <cellStyle name="Normal 12 8 4 4" xfId="23427"/>
    <cellStyle name="Normal 12 8 4 5" xfId="23428"/>
    <cellStyle name="Normal 12 8 5" xfId="1598"/>
    <cellStyle name="Normal 12 8 5 2" xfId="23429"/>
    <cellStyle name="Normal 12 8 5 2 2" xfId="23430"/>
    <cellStyle name="Normal 12 8 5 2 3" xfId="23431"/>
    <cellStyle name="Normal 12 8 5 2 4" xfId="23432"/>
    <cellStyle name="Normal 12 8 5 3" xfId="23433"/>
    <cellStyle name="Normal 12 8 5 4" xfId="23434"/>
    <cellStyle name="Normal 12 8 5 5" xfId="23435"/>
    <cellStyle name="Normal 12 8 6" xfId="23436"/>
    <cellStyle name="Normal 12 8 6 2" xfId="23437"/>
    <cellStyle name="Normal 12 8 6 3" xfId="23438"/>
    <cellStyle name="Normal 12 8 6 4" xfId="23439"/>
    <cellStyle name="Normal 12 8 7" xfId="23440"/>
    <cellStyle name="Normal 12 8 8" xfId="23441"/>
    <cellStyle name="Normal 12 8 9" xfId="23442"/>
    <cellStyle name="Normal 12 9" xfId="1599"/>
    <cellStyle name="Normal 12 9 2" xfId="1600"/>
    <cellStyle name="Normal 12 9 2 2" xfId="1601"/>
    <cellStyle name="Normal 12 9 2 2 2" xfId="1602"/>
    <cellStyle name="Normal 12 9 2 2 2 2" xfId="23443"/>
    <cellStyle name="Normal 12 9 2 2 2 2 2" xfId="23444"/>
    <cellStyle name="Normal 12 9 2 2 2 2 3" xfId="23445"/>
    <cellStyle name="Normal 12 9 2 2 2 2 4" xfId="23446"/>
    <cellStyle name="Normal 12 9 2 2 2 3" xfId="23447"/>
    <cellStyle name="Normal 12 9 2 2 2 4" xfId="23448"/>
    <cellStyle name="Normal 12 9 2 2 2 5" xfId="23449"/>
    <cellStyle name="Normal 12 9 2 2 3" xfId="1603"/>
    <cellStyle name="Normal 12 9 2 2 3 2" xfId="23450"/>
    <cellStyle name="Normal 12 9 2 2 3 2 2" xfId="23451"/>
    <cellStyle name="Normal 12 9 2 2 3 2 3" xfId="23452"/>
    <cellStyle name="Normal 12 9 2 2 3 2 4" xfId="23453"/>
    <cellStyle name="Normal 12 9 2 2 3 3" xfId="23454"/>
    <cellStyle name="Normal 12 9 2 2 3 4" xfId="23455"/>
    <cellStyle name="Normal 12 9 2 2 3 5" xfId="23456"/>
    <cellStyle name="Normal 12 9 2 2 4" xfId="23457"/>
    <cellStyle name="Normal 12 9 2 2 4 2" xfId="23458"/>
    <cellStyle name="Normal 12 9 2 2 4 3" xfId="23459"/>
    <cellStyle name="Normal 12 9 2 2 4 4" xfId="23460"/>
    <cellStyle name="Normal 12 9 2 2 5" xfId="23461"/>
    <cellStyle name="Normal 12 9 2 2 6" xfId="23462"/>
    <cellStyle name="Normal 12 9 2 2 7" xfId="23463"/>
    <cellStyle name="Normal 12 9 2 3" xfId="1604"/>
    <cellStyle name="Normal 12 9 2 3 2" xfId="23464"/>
    <cellStyle name="Normal 12 9 2 3 2 2" xfId="23465"/>
    <cellStyle name="Normal 12 9 2 3 2 3" xfId="23466"/>
    <cellStyle name="Normal 12 9 2 3 2 4" xfId="23467"/>
    <cellStyle name="Normal 12 9 2 3 3" xfId="23468"/>
    <cellStyle name="Normal 12 9 2 3 4" xfId="23469"/>
    <cellStyle name="Normal 12 9 2 3 5" xfId="23470"/>
    <cellStyle name="Normal 12 9 2 4" xfId="1605"/>
    <cellStyle name="Normal 12 9 2 4 2" xfId="23471"/>
    <cellStyle name="Normal 12 9 2 4 2 2" xfId="23472"/>
    <cellStyle name="Normal 12 9 2 4 2 3" xfId="23473"/>
    <cellStyle name="Normal 12 9 2 4 2 4" xfId="23474"/>
    <cellStyle name="Normal 12 9 2 4 3" xfId="23475"/>
    <cellStyle name="Normal 12 9 2 4 4" xfId="23476"/>
    <cellStyle name="Normal 12 9 2 4 5" xfId="23477"/>
    <cellStyle name="Normal 12 9 2 5" xfId="23478"/>
    <cellStyle name="Normal 12 9 2 5 2" xfId="23479"/>
    <cellStyle name="Normal 12 9 2 5 3" xfId="23480"/>
    <cellStyle name="Normal 12 9 2 5 4" xfId="23481"/>
    <cellStyle name="Normal 12 9 2 6" xfId="23482"/>
    <cellStyle name="Normal 12 9 2 7" xfId="23483"/>
    <cellStyle name="Normal 12 9 2 8" xfId="23484"/>
    <cellStyle name="Normal 12 9 3" xfId="1606"/>
    <cellStyle name="Normal 12 9 3 2" xfId="1607"/>
    <cellStyle name="Normal 12 9 3 2 2" xfId="23485"/>
    <cellStyle name="Normal 12 9 3 2 2 2" xfId="23486"/>
    <cellStyle name="Normal 12 9 3 2 2 3" xfId="23487"/>
    <cellStyle name="Normal 12 9 3 2 2 4" xfId="23488"/>
    <cellStyle name="Normal 12 9 3 2 3" xfId="23489"/>
    <cellStyle name="Normal 12 9 3 2 4" xfId="23490"/>
    <cellStyle name="Normal 12 9 3 2 5" xfId="23491"/>
    <cellStyle name="Normal 12 9 3 3" xfId="1608"/>
    <cellStyle name="Normal 12 9 3 3 2" xfId="23492"/>
    <cellStyle name="Normal 12 9 3 3 2 2" xfId="23493"/>
    <cellStyle name="Normal 12 9 3 3 2 3" xfId="23494"/>
    <cellStyle name="Normal 12 9 3 3 2 4" xfId="23495"/>
    <cellStyle name="Normal 12 9 3 3 3" xfId="23496"/>
    <cellStyle name="Normal 12 9 3 3 4" xfId="23497"/>
    <cellStyle name="Normal 12 9 3 3 5" xfId="23498"/>
    <cellStyle name="Normal 12 9 3 4" xfId="23499"/>
    <cellStyle name="Normal 12 9 3 4 2" xfId="23500"/>
    <cellStyle name="Normal 12 9 3 4 3" xfId="23501"/>
    <cellStyle name="Normal 12 9 3 4 4" xfId="23502"/>
    <cellStyle name="Normal 12 9 3 5" xfId="23503"/>
    <cellStyle name="Normal 12 9 3 6" xfId="23504"/>
    <cellStyle name="Normal 12 9 3 7" xfId="23505"/>
    <cellStyle name="Normal 12 9 4" xfId="1609"/>
    <cellStyle name="Normal 12 9 4 2" xfId="23506"/>
    <cellStyle name="Normal 12 9 4 2 2" xfId="23507"/>
    <cellStyle name="Normal 12 9 4 2 3" xfId="23508"/>
    <cellStyle name="Normal 12 9 4 2 4" xfId="23509"/>
    <cellStyle name="Normal 12 9 4 3" xfId="23510"/>
    <cellStyle name="Normal 12 9 4 4" xfId="23511"/>
    <cellStyle name="Normal 12 9 4 5" xfId="23512"/>
    <cellStyle name="Normal 12 9 5" xfId="1610"/>
    <cellStyle name="Normal 12 9 5 2" xfId="23513"/>
    <cellStyle name="Normal 12 9 5 2 2" xfId="23514"/>
    <cellStyle name="Normal 12 9 5 2 3" xfId="23515"/>
    <cellStyle name="Normal 12 9 5 2 4" xfId="23516"/>
    <cellStyle name="Normal 12 9 5 3" xfId="23517"/>
    <cellStyle name="Normal 12 9 5 4" xfId="23518"/>
    <cellStyle name="Normal 12 9 5 5" xfId="23519"/>
    <cellStyle name="Normal 12 9 6" xfId="23520"/>
    <cellStyle name="Normal 12 9 6 2" xfId="23521"/>
    <cellStyle name="Normal 12 9 6 3" xfId="23522"/>
    <cellStyle name="Normal 12 9 6 4" xfId="23523"/>
    <cellStyle name="Normal 12 9 7" xfId="23524"/>
    <cellStyle name="Normal 12 9 8" xfId="23525"/>
    <cellStyle name="Normal 12 9 9" xfId="23526"/>
    <cellStyle name="Normal 128" xfId="1611"/>
    <cellStyle name="Normal 128 10" xfId="23527"/>
    <cellStyle name="Normal 128 2" xfId="1612"/>
    <cellStyle name="Normal 128 2 2" xfId="1613"/>
    <cellStyle name="Normal 128 2 2 2" xfId="1614"/>
    <cellStyle name="Normal 128 2 2 2 2" xfId="1615"/>
    <cellStyle name="Normal 128 2 2 2 2 2" xfId="23528"/>
    <cellStyle name="Normal 128 2 2 2 2 2 2" xfId="23529"/>
    <cellStyle name="Normal 128 2 2 2 2 2 3" xfId="23530"/>
    <cellStyle name="Normal 128 2 2 2 2 2 4" xfId="23531"/>
    <cellStyle name="Normal 128 2 2 2 2 3" xfId="23532"/>
    <cellStyle name="Normal 128 2 2 2 2 4" xfId="23533"/>
    <cellStyle name="Normal 128 2 2 2 2 5" xfId="23534"/>
    <cellStyle name="Normal 128 2 2 2 3" xfId="1616"/>
    <cellStyle name="Normal 128 2 2 2 3 2" xfId="23535"/>
    <cellStyle name="Normal 128 2 2 2 3 2 2" xfId="23536"/>
    <cellStyle name="Normal 128 2 2 2 3 2 3" xfId="23537"/>
    <cellStyle name="Normal 128 2 2 2 3 2 4" xfId="23538"/>
    <cellStyle name="Normal 128 2 2 2 3 3" xfId="23539"/>
    <cellStyle name="Normal 128 2 2 2 3 4" xfId="23540"/>
    <cellStyle name="Normal 128 2 2 2 3 5" xfId="23541"/>
    <cellStyle name="Normal 128 2 2 2 4" xfId="23542"/>
    <cellStyle name="Normal 128 2 2 2 4 2" xfId="23543"/>
    <cellStyle name="Normal 128 2 2 2 4 3" xfId="23544"/>
    <cellStyle name="Normal 128 2 2 2 4 4" xfId="23545"/>
    <cellStyle name="Normal 128 2 2 2 5" xfId="23546"/>
    <cellStyle name="Normal 128 2 2 2 6" xfId="23547"/>
    <cellStyle name="Normal 128 2 2 2 7" xfId="23548"/>
    <cellStyle name="Normal 128 2 2 3" xfId="1617"/>
    <cellStyle name="Normal 128 2 2 3 2" xfId="23549"/>
    <cellStyle name="Normal 128 2 2 3 2 2" xfId="23550"/>
    <cellStyle name="Normal 128 2 2 3 2 3" xfId="23551"/>
    <cellStyle name="Normal 128 2 2 3 2 4" xfId="23552"/>
    <cellStyle name="Normal 128 2 2 3 3" xfId="23553"/>
    <cellStyle name="Normal 128 2 2 3 4" xfId="23554"/>
    <cellStyle name="Normal 128 2 2 3 5" xfId="23555"/>
    <cellStyle name="Normal 128 2 2 4" xfId="1618"/>
    <cellStyle name="Normal 128 2 2 4 2" xfId="23556"/>
    <cellStyle name="Normal 128 2 2 4 2 2" xfId="23557"/>
    <cellStyle name="Normal 128 2 2 4 2 3" xfId="23558"/>
    <cellStyle name="Normal 128 2 2 4 2 4" xfId="23559"/>
    <cellStyle name="Normal 128 2 2 4 3" xfId="23560"/>
    <cellStyle name="Normal 128 2 2 4 4" xfId="23561"/>
    <cellStyle name="Normal 128 2 2 4 5" xfId="23562"/>
    <cellStyle name="Normal 128 2 2 5" xfId="23563"/>
    <cellStyle name="Normal 128 2 2 5 2" xfId="23564"/>
    <cellStyle name="Normal 128 2 2 5 3" xfId="23565"/>
    <cellStyle name="Normal 128 2 2 5 4" xfId="23566"/>
    <cellStyle name="Normal 128 2 2 6" xfId="23567"/>
    <cellStyle name="Normal 128 2 2 7" xfId="23568"/>
    <cellStyle name="Normal 128 2 2 8" xfId="23569"/>
    <cellStyle name="Normal 128 2 3" xfId="1619"/>
    <cellStyle name="Normal 128 2 3 2" xfId="1620"/>
    <cellStyle name="Normal 128 2 3 2 2" xfId="23570"/>
    <cellStyle name="Normal 128 2 3 2 2 2" xfId="23571"/>
    <cellStyle name="Normal 128 2 3 2 2 3" xfId="23572"/>
    <cellStyle name="Normal 128 2 3 2 2 4" xfId="23573"/>
    <cellStyle name="Normal 128 2 3 2 3" xfId="23574"/>
    <cellStyle name="Normal 128 2 3 2 4" xfId="23575"/>
    <cellStyle name="Normal 128 2 3 2 5" xfId="23576"/>
    <cellStyle name="Normal 128 2 3 3" xfId="1621"/>
    <cellStyle name="Normal 128 2 3 3 2" xfId="23577"/>
    <cellStyle name="Normal 128 2 3 3 2 2" xfId="23578"/>
    <cellStyle name="Normal 128 2 3 3 2 3" xfId="23579"/>
    <cellStyle name="Normal 128 2 3 3 2 4" xfId="23580"/>
    <cellStyle name="Normal 128 2 3 3 3" xfId="23581"/>
    <cellStyle name="Normal 128 2 3 3 4" xfId="23582"/>
    <cellStyle name="Normal 128 2 3 3 5" xfId="23583"/>
    <cellStyle name="Normal 128 2 3 4" xfId="23584"/>
    <cellStyle name="Normal 128 2 3 4 2" xfId="23585"/>
    <cellStyle name="Normal 128 2 3 4 3" xfId="23586"/>
    <cellStyle name="Normal 128 2 3 4 4" xfId="23587"/>
    <cellStyle name="Normal 128 2 3 5" xfId="23588"/>
    <cellStyle name="Normal 128 2 3 6" xfId="23589"/>
    <cellStyle name="Normal 128 2 3 7" xfId="23590"/>
    <cellStyle name="Normal 128 2 4" xfId="1622"/>
    <cellStyle name="Normal 128 2 4 2" xfId="23591"/>
    <cellStyle name="Normal 128 2 4 2 2" xfId="23592"/>
    <cellStyle name="Normal 128 2 4 2 3" xfId="23593"/>
    <cellStyle name="Normal 128 2 4 2 4" xfId="23594"/>
    <cellStyle name="Normal 128 2 4 3" xfId="23595"/>
    <cellStyle name="Normal 128 2 4 4" xfId="23596"/>
    <cellStyle name="Normal 128 2 4 5" xfId="23597"/>
    <cellStyle name="Normal 128 2 5" xfId="1623"/>
    <cellStyle name="Normal 128 2 5 2" xfId="23598"/>
    <cellStyle name="Normal 128 2 5 2 2" xfId="23599"/>
    <cellStyle name="Normal 128 2 5 2 3" xfId="23600"/>
    <cellStyle name="Normal 128 2 5 2 4" xfId="23601"/>
    <cellStyle name="Normal 128 2 5 3" xfId="23602"/>
    <cellStyle name="Normal 128 2 5 4" xfId="23603"/>
    <cellStyle name="Normal 128 2 5 5" xfId="23604"/>
    <cellStyle name="Normal 128 2 6" xfId="23605"/>
    <cellStyle name="Normal 128 2 6 2" xfId="23606"/>
    <cellStyle name="Normal 128 2 6 3" xfId="23607"/>
    <cellStyle name="Normal 128 2 6 4" xfId="23608"/>
    <cellStyle name="Normal 128 2 7" xfId="23609"/>
    <cellStyle name="Normal 128 2 8" xfId="23610"/>
    <cellStyle name="Normal 128 2 9" xfId="23611"/>
    <cellStyle name="Normal 128 3" xfId="1624"/>
    <cellStyle name="Normal 128 3 2" xfId="1625"/>
    <cellStyle name="Normal 128 3 2 2" xfId="1626"/>
    <cellStyle name="Normal 128 3 2 2 2" xfId="23612"/>
    <cellStyle name="Normal 128 3 2 2 2 2" xfId="23613"/>
    <cellStyle name="Normal 128 3 2 2 2 3" xfId="23614"/>
    <cellStyle name="Normal 128 3 2 2 2 4" xfId="23615"/>
    <cellStyle name="Normal 128 3 2 2 3" xfId="23616"/>
    <cellStyle name="Normal 128 3 2 2 4" xfId="23617"/>
    <cellStyle name="Normal 128 3 2 2 5" xfId="23618"/>
    <cellStyle name="Normal 128 3 2 3" xfId="1627"/>
    <cellStyle name="Normal 128 3 2 3 2" xfId="23619"/>
    <cellStyle name="Normal 128 3 2 3 2 2" xfId="23620"/>
    <cellStyle name="Normal 128 3 2 3 2 3" xfId="23621"/>
    <cellStyle name="Normal 128 3 2 3 2 4" xfId="23622"/>
    <cellStyle name="Normal 128 3 2 3 3" xfId="23623"/>
    <cellStyle name="Normal 128 3 2 3 4" xfId="23624"/>
    <cellStyle name="Normal 128 3 2 3 5" xfId="23625"/>
    <cellStyle name="Normal 128 3 2 4" xfId="23626"/>
    <cellStyle name="Normal 128 3 2 4 2" xfId="23627"/>
    <cellStyle name="Normal 128 3 2 4 3" xfId="23628"/>
    <cellStyle name="Normal 128 3 2 4 4" xfId="23629"/>
    <cellStyle name="Normal 128 3 2 5" xfId="23630"/>
    <cellStyle name="Normal 128 3 2 6" xfId="23631"/>
    <cellStyle name="Normal 128 3 2 7" xfId="23632"/>
    <cellStyle name="Normal 128 3 3" xfId="1628"/>
    <cellStyle name="Normal 128 3 3 2" xfId="23633"/>
    <cellStyle name="Normal 128 3 3 2 2" xfId="23634"/>
    <cellStyle name="Normal 128 3 3 2 3" xfId="23635"/>
    <cellStyle name="Normal 128 3 3 2 4" xfId="23636"/>
    <cellStyle name="Normal 128 3 3 3" xfId="23637"/>
    <cellStyle name="Normal 128 3 3 4" xfId="23638"/>
    <cellStyle name="Normal 128 3 3 5" xfId="23639"/>
    <cellStyle name="Normal 128 3 4" xfId="1629"/>
    <cellStyle name="Normal 128 3 4 2" xfId="23640"/>
    <cellStyle name="Normal 128 3 4 2 2" xfId="23641"/>
    <cellStyle name="Normal 128 3 4 2 3" xfId="23642"/>
    <cellStyle name="Normal 128 3 4 2 4" xfId="23643"/>
    <cellStyle name="Normal 128 3 4 3" xfId="23644"/>
    <cellStyle name="Normal 128 3 4 4" xfId="23645"/>
    <cellStyle name="Normal 128 3 4 5" xfId="23646"/>
    <cellStyle name="Normal 128 3 5" xfId="23647"/>
    <cellStyle name="Normal 128 3 5 2" xfId="23648"/>
    <cellStyle name="Normal 128 3 5 3" xfId="23649"/>
    <cellStyle name="Normal 128 3 5 4" xfId="23650"/>
    <cellStyle name="Normal 128 3 6" xfId="23651"/>
    <cellStyle name="Normal 128 3 7" xfId="23652"/>
    <cellStyle name="Normal 128 3 8" xfId="23653"/>
    <cellStyle name="Normal 128 4" xfId="1630"/>
    <cellStyle name="Normal 128 4 2" xfId="1631"/>
    <cellStyle name="Normal 128 4 2 2" xfId="23654"/>
    <cellStyle name="Normal 128 4 2 2 2" xfId="23655"/>
    <cellStyle name="Normal 128 4 2 2 3" xfId="23656"/>
    <cellStyle name="Normal 128 4 2 2 4" xfId="23657"/>
    <cellStyle name="Normal 128 4 2 3" xfId="23658"/>
    <cellStyle name="Normal 128 4 2 4" xfId="23659"/>
    <cellStyle name="Normal 128 4 2 5" xfId="23660"/>
    <cellStyle name="Normal 128 4 3" xfId="1632"/>
    <cellStyle name="Normal 128 4 3 2" xfId="23661"/>
    <cellStyle name="Normal 128 4 3 2 2" xfId="23662"/>
    <cellStyle name="Normal 128 4 3 2 3" xfId="23663"/>
    <cellStyle name="Normal 128 4 3 2 4" xfId="23664"/>
    <cellStyle name="Normal 128 4 3 3" xfId="23665"/>
    <cellStyle name="Normal 128 4 3 4" xfId="23666"/>
    <cellStyle name="Normal 128 4 3 5" xfId="23667"/>
    <cellStyle name="Normal 128 4 4" xfId="23668"/>
    <cellStyle name="Normal 128 4 4 2" xfId="23669"/>
    <cellStyle name="Normal 128 4 4 3" xfId="23670"/>
    <cellStyle name="Normal 128 4 4 4" xfId="23671"/>
    <cellStyle name="Normal 128 4 5" xfId="23672"/>
    <cellStyle name="Normal 128 4 6" xfId="23673"/>
    <cellStyle name="Normal 128 4 7" xfId="23674"/>
    <cellStyle name="Normal 128 5" xfId="1633"/>
    <cellStyle name="Normal 128 5 2" xfId="23675"/>
    <cellStyle name="Normal 128 5 2 2" xfId="23676"/>
    <cellStyle name="Normal 128 5 2 3" xfId="23677"/>
    <cellStyle name="Normal 128 5 2 4" xfId="23678"/>
    <cellStyle name="Normal 128 5 3" xfId="23679"/>
    <cellStyle name="Normal 128 5 4" xfId="23680"/>
    <cellStyle name="Normal 128 5 5" xfId="23681"/>
    <cellStyle name="Normal 128 6" xfId="1634"/>
    <cellStyle name="Normal 128 6 2" xfId="23682"/>
    <cellStyle name="Normal 128 6 2 2" xfId="23683"/>
    <cellStyle name="Normal 128 6 2 3" xfId="23684"/>
    <cellStyle name="Normal 128 6 2 4" xfId="23685"/>
    <cellStyle name="Normal 128 6 3" xfId="23686"/>
    <cellStyle name="Normal 128 6 4" xfId="23687"/>
    <cellStyle name="Normal 128 6 5" xfId="23688"/>
    <cellStyle name="Normal 128 7" xfId="23689"/>
    <cellStyle name="Normal 128 7 2" xfId="23690"/>
    <cellStyle name="Normal 128 7 3" xfId="23691"/>
    <cellStyle name="Normal 128 7 4" xfId="23692"/>
    <cellStyle name="Normal 128 8" xfId="23693"/>
    <cellStyle name="Normal 128 9" xfId="23694"/>
    <cellStyle name="Normal 13" xfId="1635"/>
    <cellStyle name="Normal 13 10" xfId="23695"/>
    <cellStyle name="Normal 13 11" xfId="23696"/>
    <cellStyle name="Normal 13 12" xfId="40331"/>
    <cellStyle name="Normal 13 2" xfId="1636"/>
    <cellStyle name="Normal 13 2 2" xfId="1637"/>
    <cellStyle name="Normal 13 2 2 2" xfId="1638"/>
    <cellStyle name="Normal 13 2 2 2 2" xfId="1639"/>
    <cellStyle name="Normal 13 2 2 2 2 2" xfId="23697"/>
    <cellStyle name="Normal 13 2 2 2 2 2 2" xfId="23698"/>
    <cellStyle name="Normal 13 2 2 2 2 2 3" xfId="23699"/>
    <cellStyle name="Normal 13 2 2 2 2 2 4" xfId="23700"/>
    <cellStyle name="Normal 13 2 2 2 2 3" xfId="23701"/>
    <cellStyle name="Normal 13 2 2 2 2 4" xfId="23702"/>
    <cellStyle name="Normal 13 2 2 2 2 5" xfId="23703"/>
    <cellStyle name="Normal 13 2 2 2 3" xfId="1640"/>
    <cellStyle name="Normal 13 2 2 2 3 2" xfId="23704"/>
    <cellStyle name="Normal 13 2 2 2 3 2 2" xfId="23705"/>
    <cellStyle name="Normal 13 2 2 2 3 2 3" xfId="23706"/>
    <cellStyle name="Normal 13 2 2 2 3 2 4" xfId="23707"/>
    <cellStyle name="Normal 13 2 2 2 3 3" xfId="23708"/>
    <cellStyle name="Normal 13 2 2 2 3 4" xfId="23709"/>
    <cellStyle name="Normal 13 2 2 2 3 5" xfId="23710"/>
    <cellStyle name="Normal 13 2 2 2 4" xfId="23711"/>
    <cellStyle name="Normal 13 2 2 2 4 2" xfId="23712"/>
    <cellStyle name="Normal 13 2 2 2 4 3" xfId="23713"/>
    <cellStyle name="Normal 13 2 2 2 4 4" xfId="23714"/>
    <cellStyle name="Normal 13 2 2 2 5" xfId="23715"/>
    <cellStyle name="Normal 13 2 2 2 6" xfId="23716"/>
    <cellStyle name="Normal 13 2 2 2 7" xfId="23717"/>
    <cellStyle name="Normal 13 2 2 3" xfId="1641"/>
    <cellStyle name="Normal 13 2 2 3 2" xfId="23718"/>
    <cellStyle name="Normal 13 2 2 3 2 2" xfId="23719"/>
    <cellStyle name="Normal 13 2 2 3 2 3" xfId="23720"/>
    <cellStyle name="Normal 13 2 2 3 2 4" xfId="23721"/>
    <cellStyle name="Normal 13 2 2 3 3" xfId="23722"/>
    <cellStyle name="Normal 13 2 2 3 4" xfId="23723"/>
    <cellStyle name="Normal 13 2 2 3 5" xfId="23724"/>
    <cellStyle name="Normal 13 2 2 4" xfId="1642"/>
    <cellStyle name="Normal 13 2 2 4 2" xfId="23725"/>
    <cellStyle name="Normal 13 2 2 4 2 2" xfId="23726"/>
    <cellStyle name="Normal 13 2 2 4 2 3" xfId="23727"/>
    <cellStyle name="Normal 13 2 2 4 2 4" xfId="23728"/>
    <cellStyle name="Normal 13 2 2 4 3" xfId="23729"/>
    <cellStyle name="Normal 13 2 2 4 4" xfId="23730"/>
    <cellStyle name="Normal 13 2 2 4 5" xfId="23731"/>
    <cellStyle name="Normal 13 2 2 5" xfId="23732"/>
    <cellStyle name="Normal 13 2 2 5 2" xfId="23733"/>
    <cellStyle name="Normal 13 2 2 5 3" xfId="23734"/>
    <cellStyle name="Normal 13 2 2 5 4" xfId="23735"/>
    <cellStyle name="Normal 13 2 2 6" xfId="23736"/>
    <cellStyle name="Normal 13 2 2 7" xfId="23737"/>
    <cellStyle name="Normal 13 2 2 8" xfId="23738"/>
    <cellStyle name="Normal 13 2 3" xfId="1643"/>
    <cellStyle name="Normal 13 2 3 2" xfId="1644"/>
    <cellStyle name="Normal 13 2 3 2 2" xfId="23739"/>
    <cellStyle name="Normal 13 2 3 2 2 2" xfId="23740"/>
    <cellStyle name="Normal 13 2 3 2 2 3" xfId="23741"/>
    <cellStyle name="Normal 13 2 3 2 2 4" xfId="23742"/>
    <cellStyle name="Normal 13 2 3 2 3" xfId="23743"/>
    <cellStyle name="Normal 13 2 3 2 4" xfId="23744"/>
    <cellStyle name="Normal 13 2 3 2 5" xfId="23745"/>
    <cellStyle name="Normal 13 2 3 3" xfId="1645"/>
    <cellStyle name="Normal 13 2 3 3 2" xfId="23746"/>
    <cellStyle name="Normal 13 2 3 3 2 2" xfId="23747"/>
    <cellStyle name="Normal 13 2 3 3 2 3" xfId="23748"/>
    <cellStyle name="Normal 13 2 3 3 2 4" xfId="23749"/>
    <cellStyle name="Normal 13 2 3 3 3" xfId="23750"/>
    <cellStyle name="Normal 13 2 3 3 4" xfId="23751"/>
    <cellStyle name="Normal 13 2 3 3 5" xfId="23752"/>
    <cellStyle name="Normal 13 2 3 4" xfId="23753"/>
    <cellStyle name="Normal 13 2 3 4 2" xfId="23754"/>
    <cellStyle name="Normal 13 2 3 4 3" xfId="23755"/>
    <cellStyle name="Normal 13 2 3 4 4" xfId="23756"/>
    <cellStyle name="Normal 13 2 3 5" xfId="23757"/>
    <cellStyle name="Normal 13 2 3 6" xfId="23758"/>
    <cellStyle name="Normal 13 2 3 7" xfId="23759"/>
    <cellStyle name="Normal 13 2 4" xfId="1646"/>
    <cellStyle name="Normal 13 2 4 2" xfId="23760"/>
    <cellStyle name="Normal 13 2 4 2 2" xfId="23761"/>
    <cellStyle name="Normal 13 2 4 2 3" xfId="23762"/>
    <cellStyle name="Normal 13 2 4 2 4" xfId="23763"/>
    <cellStyle name="Normal 13 2 4 3" xfId="23764"/>
    <cellStyle name="Normal 13 2 4 4" xfId="23765"/>
    <cellStyle name="Normal 13 2 4 5" xfId="23766"/>
    <cellStyle name="Normal 13 2 5" xfId="1647"/>
    <cellStyle name="Normal 13 2 5 2" xfId="23767"/>
    <cellStyle name="Normal 13 2 5 2 2" xfId="23768"/>
    <cellStyle name="Normal 13 2 5 2 3" xfId="23769"/>
    <cellStyle name="Normal 13 2 5 2 4" xfId="23770"/>
    <cellStyle name="Normal 13 2 5 3" xfId="23771"/>
    <cellStyle name="Normal 13 2 5 4" xfId="23772"/>
    <cellStyle name="Normal 13 2 5 5" xfId="23773"/>
    <cellStyle name="Normal 13 2 6" xfId="23774"/>
    <cellStyle name="Normal 13 2 6 2" xfId="23775"/>
    <cellStyle name="Normal 13 2 6 3" xfId="23776"/>
    <cellStyle name="Normal 13 2 6 4" xfId="23777"/>
    <cellStyle name="Normal 13 2 7" xfId="23778"/>
    <cellStyle name="Normal 13 2 8" xfId="23779"/>
    <cellStyle name="Normal 13 2 9" xfId="23780"/>
    <cellStyle name="Normal 13 3" xfId="1648"/>
    <cellStyle name="Normal 13 3 2" xfId="1649"/>
    <cellStyle name="Normal 13 3 2 2" xfId="1650"/>
    <cellStyle name="Normal 13 3 2 2 2" xfId="23781"/>
    <cellStyle name="Normal 13 3 2 2 2 2" xfId="23782"/>
    <cellStyle name="Normal 13 3 2 2 2 3" xfId="23783"/>
    <cellStyle name="Normal 13 3 2 2 2 4" xfId="23784"/>
    <cellStyle name="Normal 13 3 2 2 3" xfId="23785"/>
    <cellStyle name="Normal 13 3 2 2 4" xfId="23786"/>
    <cellStyle name="Normal 13 3 2 2 5" xfId="23787"/>
    <cellStyle name="Normal 13 3 2 3" xfId="1651"/>
    <cellStyle name="Normal 13 3 2 3 2" xfId="23788"/>
    <cellStyle name="Normal 13 3 2 3 2 2" xfId="23789"/>
    <cellStyle name="Normal 13 3 2 3 2 3" xfId="23790"/>
    <cellStyle name="Normal 13 3 2 3 2 4" xfId="23791"/>
    <cellStyle name="Normal 13 3 2 3 3" xfId="23792"/>
    <cellStyle name="Normal 13 3 2 3 4" xfId="23793"/>
    <cellStyle name="Normal 13 3 2 3 5" xfId="23794"/>
    <cellStyle name="Normal 13 3 2 4" xfId="23795"/>
    <cellStyle name="Normal 13 3 2 4 2" xfId="23796"/>
    <cellStyle name="Normal 13 3 2 4 3" xfId="23797"/>
    <cellStyle name="Normal 13 3 2 4 4" xfId="23798"/>
    <cellStyle name="Normal 13 3 2 5" xfId="23799"/>
    <cellStyle name="Normal 13 3 2 6" xfId="23800"/>
    <cellStyle name="Normal 13 3 2 7" xfId="23801"/>
    <cellStyle name="Normal 13 3 3" xfId="1652"/>
    <cellStyle name="Normal 13 3 3 2" xfId="23802"/>
    <cellStyle name="Normal 13 3 3 2 2" xfId="23803"/>
    <cellStyle name="Normal 13 3 3 2 3" xfId="23804"/>
    <cellStyle name="Normal 13 3 3 2 4" xfId="23805"/>
    <cellStyle name="Normal 13 3 3 3" xfId="23806"/>
    <cellStyle name="Normal 13 3 3 4" xfId="23807"/>
    <cellStyle name="Normal 13 3 3 5" xfId="23808"/>
    <cellStyle name="Normal 13 3 4" xfId="1653"/>
    <cellStyle name="Normal 13 3 4 2" xfId="23809"/>
    <cellStyle name="Normal 13 3 4 2 2" xfId="23810"/>
    <cellStyle name="Normal 13 3 4 2 3" xfId="23811"/>
    <cellStyle name="Normal 13 3 4 2 4" xfId="23812"/>
    <cellStyle name="Normal 13 3 4 3" xfId="23813"/>
    <cellStyle name="Normal 13 3 4 4" xfId="23814"/>
    <cellStyle name="Normal 13 3 4 5" xfId="23815"/>
    <cellStyle name="Normal 13 3 5" xfId="23816"/>
    <cellStyle name="Normal 13 3 5 2" xfId="23817"/>
    <cellStyle name="Normal 13 3 5 3" xfId="23818"/>
    <cellStyle name="Normal 13 3 5 4" xfId="23819"/>
    <cellStyle name="Normal 13 3 6" xfId="23820"/>
    <cellStyle name="Normal 13 3 7" xfId="23821"/>
    <cellStyle name="Normal 13 3 8" xfId="23822"/>
    <cellStyle name="Normal 13 4" xfId="1654"/>
    <cellStyle name="Normal 13 4 2" xfId="1655"/>
    <cellStyle name="Normal 13 4 2 2" xfId="23823"/>
    <cellStyle name="Normal 13 4 2 2 2" xfId="23824"/>
    <cellStyle name="Normal 13 4 2 2 3" xfId="23825"/>
    <cellStyle name="Normal 13 4 2 2 4" xfId="23826"/>
    <cellStyle name="Normal 13 4 2 3" xfId="23827"/>
    <cellStyle name="Normal 13 4 2 4" xfId="23828"/>
    <cellStyle name="Normal 13 4 2 5" xfId="23829"/>
    <cellStyle name="Normal 13 4 3" xfId="1656"/>
    <cellStyle name="Normal 13 4 3 2" xfId="23830"/>
    <cellStyle name="Normal 13 4 3 2 2" xfId="23831"/>
    <cellStyle name="Normal 13 4 3 2 3" xfId="23832"/>
    <cellStyle name="Normal 13 4 3 2 4" xfId="23833"/>
    <cellStyle name="Normal 13 4 3 3" xfId="23834"/>
    <cellStyle name="Normal 13 4 3 4" xfId="23835"/>
    <cellStyle name="Normal 13 4 3 5" xfId="23836"/>
    <cellStyle name="Normal 13 4 4" xfId="23837"/>
    <cellStyle name="Normal 13 4 4 2" xfId="23838"/>
    <cellStyle name="Normal 13 4 4 3" xfId="23839"/>
    <cellStyle name="Normal 13 4 4 4" xfId="23840"/>
    <cellStyle name="Normal 13 4 5" xfId="23841"/>
    <cellStyle name="Normal 13 4 6" xfId="23842"/>
    <cellStyle name="Normal 13 4 7" xfId="23843"/>
    <cellStyle name="Normal 13 5" xfId="1657"/>
    <cellStyle name="Normal 13 5 2" xfId="23844"/>
    <cellStyle name="Normal 13 5 2 2" xfId="23845"/>
    <cellStyle name="Normal 13 5 2 3" xfId="23846"/>
    <cellStyle name="Normal 13 5 2 4" xfId="23847"/>
    <cellStyle name="Normal 13 5 3" xfId="23848"/>
    <cellStyle name="Normal 13 5 4" xfId="23849"/>
    <cellStyle name="Normal 13 5 5" xfId="23850"/>
    <cellStyle name="Normal 13 6" xfId="1658"/>
    <cellStyle name="Normal 13 6 2" xfId="23851"/>
    <cellStyle name="Normal 13 6 2 2" xfId="23852"/>
    <cellStyle name="Normal 13 6 2 3" xfId="23853"/>
    <cellStyle name="Normal 13 6 2 4" xfId="23854"/>
    <cellStyle name="Normal 13 6 3" xfId="23855"/>
    <cellStyle name="Normal 13 6 4" xfId="23856"/>
    <cellStyle name="Normal 13 6 5" xfId="23857"/>
    <cellStyle name="Normal 13 7" xfId="23858"/>
    <cellStyle name="Normal 13 7 2" xfId="23859"/>
    <cellStyle name="Normal 13 7 3" xfId="23860"/>
    <cellStyle name="Normal 13 7 4" xfId="23861"/>
    <cellStyle name="Normal 13 8" xfId="23862"/>
    <cellStyle name="Normal 13 9" xfId="23863"/>
    <cellStyle name="Normal 130" xfId="1659"/>
    <cellStyle name="Normal 130 10" xfId="23864"/>
    <cellStyle name="Normal 130 2" xfId="1660"/>
    <cellStyle name="Normal 130 2 2" xfId="1661"/>
    <cellStyle name="Normal 130 2 2 2" xfId="1662"/>
    <cellStyle name="Normal 130 2 2 2 2" xfId="1663"/>
    <cellStyle name="Normal 130 2 2 2 2 2" xfId="23865"/>
    <cellStyle name="Normal 130 2 2 2 2 2 2" xfId="23866"/>
    <cellStyle name="Normal 130 2 2 2 2 2 3" xfId="23867"/>
    <cellStyle name="Normal 130 2 2 2 2 2 4" xfId="23868"/>
    <cellStyle name="Normal 130 2 2 2 2 3" xfId="23869"/>
    <cellStyle name="Normal 130 2 2 2 2 4" xfId="23870"/>
    <cellStyle name="Normal 130 2 2 2 2 5" xfId="23871"/>
    <cellStyle name="Normal 130 2 2 2 3" xfId="1664"/>
    <cellStyle name="Normal 130 2 2 2 3 2" xfId="23872"/>
    <cellStyle name="Normal 130 2 2 2 3 2 2" xfId="23873"/>
    <cellStyle name="Normal 130 2 2 2 3 2 3" xfId="23874"/>
    <cellStyle name="Normal 130 2 2 2 3 2 4" xfId="23875"/>
    <cellStyle name="Normal 130 2 2 2 3 3" xfId="23876"/>
    <cellStyle name="Normal 130 2 2 2 3 4" xfId="23877"/>
    <cellStyle name="Normal 130 2 2 2 3 5" xfId="23878"/>
    <cellStyle name="Normal 130 2 2 2 4" xfId="23879"/>
    <cellStyle name="Normal 130 2 2 2 4 2" xfId="23880"/>
    <cellStyle name="Normal 130 2 2 2 4 3" xfId="23881"/>
    <cellStyle name="Normal 130 2 2 2 4 4" xfId="23882"/>
    <cellStyle name="Normal 130 2 2 2 5" xfId="23883"/>
    <cellStyle name="Normal 130 2 2 2 6" xfId="23884"/>
    <cellStyle name="Normal 130 2 2 2 7" xfId="23885"/>
    <cellStyle name="Normal 130 2 2 3" xfId="1665"/>
    <cellStyle name="Normal 130 2 2 3 2" xfId="23886"/>
    <cellStyle name="Normal 130 2 2 3 2 2" xfId="23887"/>
    <cellStyle name="Normal 130 2 2 3 2 3" xfId="23888"/>
    <cellStyle name="Normal 130 2 2 3 2 4" xfId="23889"/>
    <cellStyle name="Normal 130 2 2 3 3" xfId="23890"/>
    <cellStyle name="Normal 130 2 2 3 4" xfId="23891"/>
    <cellStyle name="Normal 130 2 2 3 5" xfId="23892"/>
    <cellStyle name="Normal 130 2 2 4" xfId="1666"/>
    <cellStyle name="Normal 130 2 2 4 2" xfId="23893"/>
    <cellStyle name="Normal 130 2 2 4 2 2" xfId="23894"/>
    <cellStyle name="Normal 130 2 2 4 2 3" xfId="23895"/>
    <cellStyle name="Normal 130 2 2 4 2 4" xfId="23896"/>
    <cellStyle name="Normal 130 2 2 4 3" xfId="23897"/>
    <cellStyle name="Normal 130 2 2 4 4" xfId="23898"/>
    <cellStyle name="Normal 130 2 2 4 5" xfId="23899"/>
    <cellStyle name="Normal 130 2 2 5" xfId="23900"/>
    <cellStyle name="Normal 130 2 2 5 2" xfId="23901"/>
    <cellStyle name="Normal 130 2 2 5 3" xfId="23902"/>
    <cellStyle name="Normal 130 2 2 5 4" xfId="23903"/>
    <cellStyle name="Normal 130 2 2 6" xfId="23904"/>
    <cellStyle name="Normal 130 2 2 7" xfId="23905"/>
    <cellStyle name="Normal 130 2 2 8" xfId="23906"/>
    <cellStyle name="Normal 130 2 3" xfId="1667"/>
    <cellStyle name="Normal 130 2 3 2" xfId="1668"/>
    <cellStyle name="Normal 130 2 3 2 2" xfId="23907"/>
    <cellStyle name="Normal 130 2 3 2 2 2" xfId="23908"/>
    <cellStyle name="Normal 130 2 3 2 2 3" xfId="23909"/>
    <cellStyle name="Normal 130 2 3 2 2 4" xfId="23910"/>
    <cellStyle name="Normal 130 2 3 2 3" xfId="23911"/>
    <cellStyle name="Normal 130 2 3 2 4" xfId="23912"/>
    <cellStyle name="Normal 130 2 3 2 5" xfId="23913"/>
    <cellStyle name="Normal 130 2 3 3" xfId="1669"/>
    <cellStyle name="Normal 130 2 3 3 2" xfId="23914"/>
    <cellStyle name="Normal 130 2 3 3 2 2" xfId="23915"/>
    <cellStyle name="Normal 130 2 3 3 2 3" xfId="23916"/>
    <cellStyle name="Normal 130 2 3 3 2 4" xfId="23917"/>
    <cellStyle name="Normal 130 2 3 3 3" xfId="23918"/>
    <cellStyle name="Normal 130 2 3 3 4" xfId="23919"/>
    <cellStyle name="Normal 130 2 3 3 5" xfId="23920"/>
    <cellStyle name="Normal 130 2 3 4" xfId="23921"/>
    <cellStyle name="Normal 130 2 3 4 2" xfId="23922"/>
    <cellStyle name="Normal 130 2 3 4 3" xfId="23923"/>
    <cellStyle name="Normal 130 2 3 4 4" xfId="23924"/>
    <cellStyle name="Normal 130 2 3 5" xfId="23925"/>
    <cellStyle name="Normal 130 2 3 6" xfId="23926"/>
    <cellStyle name="Normal 130 2 3 7" xfId="23927"/>
    <cellStyle name="Normal 130 2 4" xfId="1670"/>
    <cellStyle name="Normal 130 2 4 2" xfId="23928"/>
    <cellStyle name="Normal 130 2 4 2 2" xfId="23929"/>
    <cellStyle name="Normal 130 2 4 2 3" xfId="23930"/>
    <cellStyle name="Normal 130 2 4 2 4" xfId="23931"/>
    <cellStyle name="Normal 130 2 4 3" xfId="23932"/>
    <cellStyle name="Normal 130 2 4 4" xfId="23933"/>
    <cellStyle name="Normal 130 2 4 5" xfId="23934"/>
    <cellStyle name="Normal 130 2 5" xfId="1671"/>
    <cellStyle name="Normal 130 2 5 2" xfId="23935"/>
    <cellStyle name="Normal 130 2 5 2 2" xfId="23936"/>
    <cellStyle name="Normal 130 2 5 2 3" xfId="23937"/>
    <cellStyle name="Normal 130 2 5 2 4" xfId="23938"/>
    <cellStyle name="Normal 130 2 5 3" xfId="23939"/>
    <cellStyle name="Normal 130 2 5 4" xfId="23940"/>
    <cellStyle name="Normal 130 2 5 5" xfId="23941"/>
    <cellStyle name="Normal 130 2 6" xfId="23942"/>
    <cellStyle name="Normal 130 2 6 2" xfId="23943"/>
    <cellStyle name="Normal 130 2 6 3" xfId="23944"/>
    <cellStyle name="Normal 130 2 6 4" xfId="23945"/>
    <cellStyle name="Normal 130 2 7" xfId="23946"/>
    <cellStyle name="Normal 130 2 8" xfId="23947"/>
    <cellStyle name="Normal 130 2 9" xfId="23948"/>
    <cellStyle name="Normal 130 3" xfId="1672"/>
    <cellStyle name="Normal 130 3 2" xfId="1673"/>
    <cellStyle name="Normal 130 3 2 2" xfId="1674"/>
    <cellStyle name="Normal 130 3 2 2 2" xfId="23949"/>
    <cellStyle name="Normal 130 3 2 2 2 2" xfId="23950"/>
    <cellStyle name="Normal 130 3 2 2 2 3" xfId="23951"/>
    <cellStyle name="Normal 130 3 2 2 2 4" xfId="23952"/>
    <cellStyle name="Normal 130 3 2 2 3" xfId="23953"/>
    <cellStyle name="Normal 130 3 2 2 4" xfId="23954"/>
    <cellStyle name="Normal 130 3 2 2 5" xfId="23955"/>
    <cellStyle name="Normal 130 3 2 3" xfId="1675"/>
    <cellStyle name="Normal 130 3 2 3 2" xfId="23956"/>
    <cellStyle name="Normal 130 3 2 3 2 2" xfId="23957"/>
    <cellStyle name="Normal 130 3 2 3 2 3" xfId="23958"/>
    <cellStyle name="Normal 130 3 2 3 2 4" xfId="23959"/>
    <cellStyle name="Normal 130 3 2 3 3" xfId="23960"/>
    <cellStyle name="Normal 130 3 2 3 4" xfId="23961"/>
    <cellStyle name="Normal 130 3 2 3 5" xfId="23962"/>
    <cellStyle name="Normal 130 3 2 4" xfId="23963"/>
    <cellStyle name="Normal 130 3 2 4 2" xfId="23964"/>
    <cellStyle name="Normal 130 3 2 4 3" xfId="23965"/>
    <cellStyle name="Normal 130 3 2 4 4" xfId="23966"/>
    <cellStyle name="Normal 130 3 2 5" xfId="23967"/>
    <cellStyle name="Normal 130 3 2 6" xfId="23968"/>
    <cellStyle name="Normal 130 3 2 7" xfId="23969"/>
    <cellStyle name="Normal 130 3 3" xfId="1676"/>
    <cellStyle name="Normal 130 3 3 2" xfId="23970"/>
    <cellStyle name="Normal 130 3 3 2 2" xfId="23971"/>
    <cellStyle name="Normal 130 3 3 2 3" xfId="23972"/>
    <cellStyle name="Normal 130 3 3 2 4" xfId="23973"/>
    <cellStyle name="Normal 130 3 3 3" xfId="23974"/>
    <cellStyle name="Normal 130 3 3 4" xfId="23975"/>
    <cellStyle name="Normal 130 3 3 5" xfId="23976"/>
    <cellStyle name="Normal 130 3 4" xfId="1677"/>
    <cellStyle name="Normal 130 3 4 2" xfId="23977"/>
    <cellStyle name="Normal 130 3 4 2 2" xfId="23978"/>
    <cellStyle name="Normal 130 3 4 2 3" xfId="23979"/>
    <cellStyle name="Normal 130 3 4 2 4" xfId="23980"/>
    <cellStyle name="Normal 130 3 4 3" xfId="23981"/>
    <cellStyle name="Normal 130 3 4 4" xfId="23982"/>
    <cellStyle name="Normal 130 3 4 5" xfId="23983"/>
    <cellStyle name="Normal 130 3 5" xfId="23984"/>
    <cellStyle name="Normal 130 3 5 2" xfId="23985"/>
    <cellStyle name="Normal 130 3 5 3" xfId="23986"/>
    <cellStyle name="Normal 130 3 5 4" xfId="23987"/>
    <cellStyle name="Normal 130 3 6" xfId="23988"/>
    <cellStyle name="Normal 130 3 7" xfId="23989"/>
    <cellStyle name="Normal 130 3 8" xfId="23990"/>
    <cellStyle name="Normal 130 4" xfId="1678"/>
    <cellStyle name="Normal 130 4 2" xfId="1679"/>
    <cellStyle name="Normal 130 4 2 2" xfId="23991"/>
    <cellStyle name="Normal 130 4 2 2 2" xfId="23992"/>
    <cellStyle name="Normal 130 4 2 2 3" xfId="23993"/>
    <cellStyle name="Normal 130 4 2 2 4" xfId="23994"/>
    <cellStyle name="Normal 130 4 2 3" xfId="23995"/>
    <cellStyle name="Normal 130 4 2 4" xfId="23996"/>
    <cellStyle name="Normal 130 4 2 5" xfId="23997"/>
    <cellStyle name="Normal 130 4 3" xfId="1680"/>
    <cellStyle name="Normal 130 4 3 2" xfId="23998"/>
    <cellStyle name="Normal 130 4 3 2 2" xfId="23999"/>
    <cellStyle name="Normal 130 4 3 2 3" xfId="24000"/>
    <cellStyle name="Normal 130 4 3 2 4" xfId="24001"/>
    <cellStyle name="Normal 130 4 3 3" xfId="24002"/>
    <cellStyle name="Normal 130 4 3 4" xfId="24003"/>
    <cellStyle name="Normal 130 4 3 5" xfId="24004"/>
    <cellStyle name="Normal 130 4 4" xfId="24005"/>
    <cellStyle name="Normal 130 4 4 2" xfId="24006"/>
    <cellStyle name="Normal 130 4 4 3" xfId="24007"/>
    <cellStyle name="Normal 130 4 4 4" xfId="24008"/>
    <cellStyle name="Normal 130 4 5" xfId="24009"/>
    <cellStyle name="Normal 130 4 6" xfId="24010"/>
    <cellStyle name="Normal 130 4 7" xfId="24011"/>
    <cellStyle name="Normal 130 5" xfId="1681"/>
    <cellStyle name="Normal 130 5 2" xfId="24012"/>
    <cellStyle name="Normal 130 5 2 2" xfId="24013"/>
    <cellStyle name="Normal 130 5 2 3" xfId="24014"/>
    <cellStyle name="Normal 130 5 2 4" xfId="24015"/>
    <cellStyle name="Normal 130 5 3" xfId="24016"/>
    <cellStyle name="Normal 130 5 4" xfId="24017"/>
    <cellStyle name="Normal 130 5 5" xfId="24018"/>
    <cellStyle name="Normal 130 6" xfId="1682"/>
    <cellStyle name="Normal 130 6 2" xfId="24019"/>
    <cellStyle name="Normal 130 6 2 2" xfId="24020"/>
    <cellStyle name="Normal 130 6 2 3" xfId="24021"/>
    <cellStyle name="Normal 130 6 2 4" xfId="24022"/>
    <cellStyle name="Normal 130 6 3" xfId="24023"/>
    <cellStyle name="Normal 130 6 4" xfId="24024"/>
    <cellStyle name="Normal 130 6 5" xfId="24025"/>
    <cellStyle name="Normal 130 7" xfId="24026"/>
    <cellStyle name="Normal 130 7 2" xfId="24027"/>
    <cellStyle name="Normal 130 7 3" xfId="24028"/>
    <cellStyle name="Normal 130 7 4" xfId="24029"/>
    <cellStyle name="Normal 130 8" xfId="24030"/>
    <cellStyle name="Normal 130 9" xfId="24031"/>
    <cellStyle name="Normal 131" xfId="1683"/>
    <cellStyle name="Normal 131 10" xfId="24032"/>
    <cellStyle name="Normal 131 2" xfId="1684"/>
    <cellStyle name="Normal 131 2 2" xfId="1685"/>
    <cellStyle name="Normal 131 2 2 2" xfId="1686"/>
    <cellStyle name="Normal 131 2 2 2 2" xfId="1687"/>
    <cellStyle name="Normal 131 2 2 2 2 2" xfId="24033"/>
    <cellStyle name="Normal 131 2 2 2 2 2 2" xfId="24034"/>
    <cellStyle name="Normal 131 2 2 2 2 2 3" xfId="24035"/>
    <cellStyle name="Normal 131 2 2 2 2 2 4" xfId="24036"/>
    <cellStyle name="Normal 131 2 2 2 2 3" xfId="24037"/>
    <cellStyle name="Normal 131 2 2 2 2 4" xfId="24038"/>
    <cellStyle name="Normal 131 2 2 2 2 5" xfId="24039"/>
    <cellStyle name="Normal 131 2 2 2 3" xfId="1688"/>
    <cellStyle name="Normal 131 2 2 2 3 2" xfId="24040"/>
    <cellStyle name="Normal 131 2 2 2 3 2 2" xfId="24041"/>
    <cellStyle name="Normal 131 2 2 2 3 2 3" xfId="24042"/>
    <cellStyle name="Normal 131 2 2 2 3 2 4" xfId="24043"/>
    <cellStyle name="Normal 131 2 2 2 3 3" xfId="24044"/>
    <cellStyle name="Normal 131 2 2 2 3 4" xfId="24045"/>
    <cellStyle name="Normal 131 2 2 2 3 5" xfId="24046"/>
    <cellStyle name="Normal 131 2 2 2 4" xfId="24047"/>
    <cellStyle name="Normal 131 2 2 2 4 2" xfId="24048"/>
    <cellStyle name="Normal 131 2 2 2 4 3" xfId="24049"/>
    <cellStyle name="Normal 131 2 2 2 4 4" xfId="24050"/>
    <cellStyle name="Normal 131 2 2 2 5" xfId="24051"/>
    <cellStyle name="Normal 131 2 2 2 6" xfId="24052"/>
    <cellStyle name="Normal 131 2 2 2 7" xfId="24053"/>
    <cellStyle name="Normal 131 2 2 3" xfId="1689"/>
    <cellStyle name="Normal 131 2 2 3 2" xfId="24054"/>
    <cellStyle name="Normal 131 2 2 3 2 2" xfId="24055"/>
    <cellStyle name="Normal 131 2 2 3 2 3" xfId="24056"/>
    <cellStyle name="Normal 131 2 2 3 2 4" xfId="24057"/>
    <cellStyle name="Normal 131 2 2 3 3" xfId="24058"/>
    <cellStyle name="Normal 131 2 2 3 4" xfId="24059"/>
    <cellStyle name="Normal 131 2 2 3 5" xfId="24060"/>
    <cellStyle name="Normal 131 2 2 4" xfId="1690"/>
    <cellStyle name="Normal 131 2 2 4 2" xfId="24061"/>
    <cellStyle name="Normal 131 2 2 4 2 2" xfId="24062"/>
    <cellStyle name="Normal 131 2 2 4 2 3" xfId="24063"/>
    <cellStyle name="Normal 131 2 2 4 2 4" xfId="24064"/>
    <cellStyle name="Normal 131 2 2 4 3" xfId="24065"/>
    <cellStyle name="Normal 131 2 2 4 4" xfId="24066"/>
    <cellStyle name="Normal 131 2 2 4 5" xfId="24067"/>
    <cellStyle name="Normal 131 2 2 5" xfId="24068"/>
    <cellStyle name="Normal 131 2 2 5 2" xfId="24069"/>
    <cellStyle name="Normal 131 2 2 5 3" xfId="24070"/>
    <cellStyle name="Normal 131 2 2 5 4" xfId="24071"/>
    <cellStyle name="Normal 131 2 2 6" xfId="24072"/>
    <cellStyle name="Normal 131 2 2 7" xfId="24073"/>
    <cellStyle name="Normal 131 2 2 8" xfId="24074"/>
    <cellStyle name="Normal 131 2 3" xfId="1691"/>
    <cellStyle name="Normal 131 2 3 2" xfId="1692"/>
    <cellStyle name="Normal 131 2 3 2 2" xfId="24075"/>
    <cellStyle name="Normal 131 2 3 2 2 2" xfId="24076"/>
    <cellStyle name="Normal 131 2 3 2 2 3" xfId="24077"/>
    <cellStyle name="Normal 131 2 3 2 2 4" xfId="24078"/>
    <cellStyle name="Normal 131 2 3 2 3" xfId="24079"/>
    <cellStyle name="Normal 131 2 3 2 4" xfId="24080"/>
    <cellStyle name="Normal 131 2 3 2 5" xfId="24081"/>
    <cellStyle name="Normal 131 2 3 3" xfId="1693"/>
    <cellStyle name="Normal 131 2 3 3 2" xfId="24082"/>
    <cellStyle name="Normal 131 2 3 3 2 2" xfId="24083"/>
    <cellStyle name="Normal 131 2 3 3 2 3" xfId="24084"/>
    <cellStyle name="Normal 131 2 3 3 2 4" xfId="24085"/>
    <cellStyle name="Normal 131 2 3 3 3" xfId="24086"/>
    <cellStyle name="Normal 131 2 3 3 4" xfId="24087"/>
    <cellStyle name="Normal 131 2 3 3 5" xfId="24088"/>
    <cellStyle name="Normal 131 2 3 4" xfId="24089"/>
    <cellStyle name="Normal 131 2 3 4 2" xfId="24090"/>
    <cellStyle name="Normal 131 2 3 4 3" xfId="24091"/>
    <cellStyle name="Normal 131 2 3 4 4" xfId="24092"/>
    <cellStyle name="Normal 131 2 3 5" xfId="24093"/>
    <cellStyle name="Normal 131 2 3 6" xfId="24094"/>
    <cellStyle name="Normal 131 2 3 7" xfId="24095"/>
    <cellStyle name="Normal 131 2 4" xfId="1694"/>
    <cellStyle name="Normal 131 2 4 2" xfId="24096"/>
    <cellStyle name="Normal 131 2 4 2 2" xfId="24097"/>
    <cellStyle name="Normal 131 2 4 2 3" xfId="24098"/>
    <cellStyle name="Normal 131 2 4 2 4" xfId="24099"/>
    <cellStyle name="Normal 131 2 4 3" xfId="24100"/>
    <cellStyle name="Normal 131 2 4 4" xfId="24101"/>
    <cellStyle name="Normal 131 2 4 5" xfId="24102"/>
    <cellStyle name="Normal 131 2 5" xfId="1695"/>
    <cellStyle name="Normal 131 2 5 2" xfId="24103"/>
    <cellStyle name="Normal 131 2 5 2 2" xfId="24104"/>
    <cellStyle name="Normal 131 2 5 2 3" xfId="24105"/>
    <cellStyle name="Normal 131 2 5 2 4" xfId="24106"/>
    <cellStyle name="Normal 131 2 5 3" xfId="24107"/>
    <cellStyle name="Normal 131 2 5 4" xfId="24108"/>
    <cellStyle name="Normal 131 2 5 5" xfId="24109"/>
    <cellStyle name="Normal 131 2 6" xfId="24110"/>
    <cellStyle name="Normal 131 2 6 2" xfId="24111"/>
    <cellStyle name="Normal 131 2 6 3" xfId="24112"/>
    <cellStyle name="Normal 131 2 6 4" xfId="24113"/>
    <cellStyle name="Normal 131 2 7" xfId="24114"/>
    <cellStyle name="Normal 131 2 8" xfId="24115"/>
    <cellStyle name="Normal 131 2 9" xfId="24116"/>
    <cellStyle name="Normal 131 3" xfId="1696"/>
    <cellStyle name="Normal 131 3 2" xfId="1697"/>
    <cellStyle name="Normal 131 3 2 2" xfId="1698"/>
    <cellStyle name="Normal 131 3 2 2 2" xfId="24117"/>
    <cellStyle name="Normal 131 3 2 2 2 2" xfId="24118"/>
    <cellStyle name="Normal 131 3 2 2 2 3" xfId="24119"/>
    <cellStyle name="Normal 131 3 2 2 2 4" xfId="24120"/>
    <cellStyle name="Normal 131 3 2 2 3" xfId="24121"/>
    <cellStyle name="Normal 131 3 2 2 4" xfId="24122"/>
    <cellStyle name="Normal 131 3 2 2 5" xfId="24123"/>
    <cellStyle name="Normal 131 3 2 3" xfId="1699"/>
    <cellStyle name="Normal 131 3 2 3 2" xfId="24124"/>
    <cellStyle name="Normal 131 3 2 3 2 2" xfId="24125"/>
    <cellStyle name="Normal 131 3 2 3 2 3" xfId="24126"/>
    <cellStyle name="Normal 131 3 2 3 2 4" xfId="24127"/>
    <cellStyle name="Normal 131 3 2 3 3" xfId="24128"/>
    <cellStyle name="Normal 131 3 2 3 4" xfId="24129"/>
    <cellStyle name="Normal 131 3 2 3 5" xfId="24130"/>
    <cellStyle name="Normal 131 3 2 4" xfId="24131"/>
    <cellStyle name="Normal 131 3 2 4 2" xfId="24132"/>
    <cellStyle name="Normal 131 3 2 4 3" xfId="24133"/>
    <cellStyle name="Normal 131 3 2 4 4" xfId="24134"/>
    <cellStyle name="Normal 131 3 2 5" xfId="24135"/>
    <cellStyle name="Normal 131 3 2 6" xfId="24136"/>
    <cellStyle name="Normal 131 3 2 7" xfId="24137"/>
    <cellStyle name="Normal 131 3 3" xfId="1700"/>
    <cellStyle name="Normal 131 3 3 2" xfId="24138"/>
    <cellStyle name="Normal 131 3 3 2 2" xfId="24139"/>
    <cellStyle name="Normal 131 3 3 2 3" xfId="24140"/>
    <cellStyle name="Normal 131 3 3 2 4" xfId="24141"/>
    <cellStyle name="Normal 131 3 3 3" xfId="24142"/>
    <cellStyle name="Normal 131 3 3 4" xfId="24143"/>
    <cellStyle name="Normal 131 3 3 5" xfId="24144"/>
    <cellStyle name="Normal 131 3 4" xfId="1701"/>
    <cellStyle name="Normal 131 3 4 2" xfId="24145"/>
    <cellStyle name="Normal 131 3 4 2 2" xfId="24146"/>
    <cellStyle name="Normal 131 3 4 2 3" xfId="24147"/>
    <cellStyle name="Normal 131 3 4 2 4" xfId="24148"/>
    <cellStyle name="Normal 131 3 4 3" xfId="24149"/>
    <cellStyle name="Normal 131 3 4 4" xfId="24150"/>
    <cellStyle name="Normal 131 3 4 5" xfId="24151"/>
    <cellStyle name="Normal 131 3 5" xfId="24152"/>
    <cellStyle name="Normal 131 3 5 2" xfId="24153"/>
    <cellStyle name="Normal 131 3 5 3" xfId="24154"/>
    <cellStyle name="Normal 131 3 5 4" xfId="24155"/>
    <cellStyle name="Normal 131 3 6" xfId="24156"/>
    <cellStyle name="Normal 131 3 7" xfId="24157"/>
    <cellStyle name="Normal 131 3 8" xfId="24158"/>
    <cellStyle name="Normal 131 4" xfId="1702"/>
    <cellStyle name="Normal 131 4 2" xfId="1703"/>
    <cellStyle name="Normal 131 4 2 2" xfId="24159"/>
    <cellStyle name="Normal 131 4 2 2 2" xfId="24160"/>
    <cellStyle name="Normal 131 4 2 2 3" xfId="24161"/>
    <cellStyle name="Normal 131 4 2 2 4" xfId="24162"/>
    <cellStyle name="Normal 131 4 2 3" xfId="24163"/>
    <cellStyle name="Normal 131 4 2 4" xfId="24164"/>
    <cellStyle name="Normal 131 4 2 5" xfId="24165"/>
    <cellStyle name="Normal 131 4 3" xfId="1704"/>
    <cellStyle name="Normal 131 4 3 2" xfId="24166"/>
    <cellStyle name="Normal 131 4 3 2 2" xfId="24167"/>
    <cellStyle name="Normal 131 4 3 2 3" xfId="24168"/>
    <cellStyle name="Normal 131 4 3 2 4" xfId="24169"/>
    <cellStyle name="Normal 131 4 3 3" xfId="24170"/>
    <cellStyle name="Normal 131 4 3 4" xfId="24171"/>
    <cellStyle name="Normal 131 4 3 5" xfId="24172"/>
    <cellStyle name="Normal 131 4 4" xfId="24173"/>
    <cellStyle name="Normal 131 4 4 2" xfId="24174"/>
    <cellStyle name="Normal 131 4 4 3" xfId="24175"/>
    <cellStyle name="Normal 131 4 4 4" xfId="24176"/>
    <cellStyle name="Normal 131 4 5" xfId="24177"/>
    <cellStyle name="Normal 131 4 6" xfId="24178"/>
    <cellStyle name="Normal 131 4 7" xfId="24179"/>
    <cellStyle name="Normal 131 5" xfId="1705"/>
    <cellStyle name="Normal 131 5 2" xfId="24180"/>
    <cellStyle name="Normal 131 5 2 2" xfId="24181"/>
    <cellStyle name="Normal 131 5 2 3" xfId="24182"/>
    <cellStyle name="Normal 131 5 2 4" xfId="24183"/>
    <cellStyle name="Normal 131 5 3" xfId="24184"/>
    <cellStyle name="Normal 131 5 4" xfId="24185"/>
    <cellStyle name="Normal 131 5 5" xfId="24186"/>
    <cellStyle name="Normal 131 6" xfId="1706"/>
    <cellStyle name="Normal 131 6 2" xfId="24187"/>
    <cellStyle name="Normal 131 6 2 2" xfId="24188"/>
    <cellStyle name="Normal 131 6 2 3" xfId="24189"/>
    <cellStyle name="Normal 131 6 2 4" xfId="24190"/>
    <cellStyle name="Normal 131 6 3" xfId="24191"/>
    <cellStyle name="Normal 131 6 4" xfId="24192"/>
    <cellStyle name="Normal 131 6 5" xfId="24193"/>
    <cellStyle name="Normal 131 7" xfId="24194"/>
    <cellStyle name="Normal 131 7 2" xfId="24195"/>
    <cellStyle name="Normal 131 7 3" xfId="24196"/>
    <cellStyle name="Normal 131 7 4" xfId="24197"/>
    <cellStyle name="Normal 131 8" xfId="24198"/>
    <cellStyle name="Normal 131 9" xfId="24199"/>
    <cellStyle name="Normal 132" xfId="1707"/>
    <cellStyle name="Normal 132 2" xfId="1708"/>
    <cellStyle name="Normal 132 2 2" xfId="1709"/>
    <cellStyle name="Normal 132 2 2 2" xfId="1710"/>
    <cellStyle name="Normal 132 2 2 2 2" xfId="24200"/>
    <cellStyle name="Normal 132 2 2 2 2 2" xfId="24201"/>
    <cellStyle name="Normal 132 2 2 2 2 3" xfId="24202"/>
    <cellStyle name="Normal 132 2 2 2 2 4" xfId="24203"/>
    <cellStyle name="Normal 132 2 2 2 3" xfId="24204"/>
    <cellStyle name="Normal 132 2 2 2 4" xfId="24205"/>
    <cellStyle name="Normal 132 2 2 2 5" xfId="24206"/>
    <cellStyle name="Normal 132 2 2 3" xfId="1711"/>
    <cellStyle name="Normal 132 2 2 3 2" xfId="24207"/>
    <cellStyle name="Normal 132 2 2 3 2 2" xfId="24208"/>
    <cellStyle name="Normal 132 2 2 3 2 3" xfId="24209"/>
    <cellStyle name="Normal 132 2 2 3 2 4" xfId="24210"/>
    <cellStyle name="Normal 132 2 2 3 3" xfId="24211"/>
    <cellStyle name="Normal 132 2 2 3 4" xfId="24212"/>
    <cellStyle name="Normal 132 2 2 3 5" xfId="24213"/>
    <cellStyle name="Normal 132 2 2 4" xfId="24214"/>
    <cellStyle name="Normal 132 2 2 4 2" xfId="24215"/>
    <cellStyle name="Normal 132 2 2 4 3" xfId="24216"/>
    <cellStyle name="Normal 132 2 2 4 4" xfId="24217"/>
    <cellStyle name="Normal 132 2 2 5" xfId="24218"/>
    <cellStyle name="Normal 132 2 2 6" xfId="24219"/>
    <cellStyle name="Normal 132 2 2 7" xfId="24220"/>
    <cellStyle name="Normal 132 2 3" xfId="1712"/>
    <cellStyle name="Normal 132 2 3 2" xfId="24221"/>
    <cellStyle name="Normal 132 2 3 2 2" xfId="24222"/>
    <cellStyle name="Normal 132 2 3 2 3" xfId="24223"/>
    <cellStyle name="Normal 132 2 3 2 4" xfId="24224"/>
    <cellStyle name="Normal 132 2 3 3" xfId="24225"/>
    <cellStyle name="Normal 132 2 3 4" xfId="24226"/>
    <cellStyle name="Normal 132 2 3 5" xfId="24227"/>
    <cellStyle name="Normal 132 2 4" xfId="1713"/>
    <cellStyle name="Normal 132 2 4 2" xfId="24228"/>
    <cellStyle name="Normal 132 2 4 2 2" xfId="24229"/>
    <cellStyle name="Normal 132 2 4 2 3" xfId="24230"/>
    <cellStyle name="Normal 132 2 4 2 4" xfId="24231"/>
    <cellStyle name="Normal 132 2 4 3" xfId="24232"/>
    <cellStyle name="Normal 132 2 4 4" xfId="24233"/>
    <cellStyle name="Normal 132 2 4 5" xfId="24234"/>
    <cellStyle name="Normal 132 2 5" xfId="24235"/>
    <cellStyle name="Normal 132 2 5 2" xfId="24236"/>
    <cellStyle name="Normal 132 2 5 3" xfId="24237"/>
    <cellStyle name="Normal 132 2 5 4" xfId="24238"/>
    <cellStyle name="Normal 132 2 6" xfId="24239"/>
    <cellStyle name="Normal 132 2 7" xfId="24240"/>
    <cellStyle name="Normal 132 2 8" xfId="24241"/>
    <cellStyle name="Normal 132 3" xfId="1714"/>
    <cellStyle name="Normal 132 3 2" xfId="1715"/>
    <cellStyle name="Normal 132 3 2 2" xfId="24242"/>
    <cellStyle name="Normal 132 3 2 2 2" xfId="24243"/>
    <cellStyle name="Normal 132 3 2 2 3" xfId="24244"/>
    <cellStyle name="Normal 132 3 2 2 4" xfId="24245"/>
    <cellStyle name="Normal 132 3 2 3" xfId="24246"/>
    <cellStyle name="Normal 132 3 2 4" xfId="24247"/>
    <cellStyle name="Normal 132 3 2 5" xfId="24248"/>
    <cellStyle name="Normal 132 3 3" xfId="1716"/>
    <cellStyle name="Normal 132 3 3 2" xfId="24249"/>
    <cellStyle name="Normal 132 3 3 2 2" xfId="24250"/>
    <cellStyle name="Normal 132 3 3 2 3" xfId="24251"/>
    <cellStyle name="Normal 132 3 3 2 4" xfId="24252"/>
    <cellStyle name="Normal 132 3 3 3" xfId="24253"/>
    <cellStyle name="Normal 132 3 3 4" xfId="24254"/>
    <cellStyle name="Normal 132 3 3 5" xfId="24255"/>
    <cellStyle name="Normal 132 3 4" xfId="24256"/>
    <cellStyle name="Normal 132 3 4 2" xfId="24257"/>
    <cellStyle name="Normal 132 3 4 3" xfId="24258"/>
    <cellStyle name="Normal 132 3 4 4" xfId="24259"/>
    <cellStyle name="Normal 132 3 5" xfId="24260"/>
    <cellStyle name="Normal 132 3 6" xfId="24261"/>
    <cellStyle name="Normal 132 3 7" xfId="24262"/>
    <cellStyle name="Normal 132 4" xfId="1717"/>
    <cellStyle name="Normal 132 4 2" xfId="24263"/>
    <cellStyle name="Normal 132 4 2 2" xfId="24264"/>
    <cellStyle name="Normal 132 4 2 3" xfId="24265"/>
    <cellStyle name="Normal 132 4 2 4" xfId="24266"/>
    <cellStyle name="Normal 132 4 3" xfId="24267"/>
    <cellStyle name="Normal 132 4 4" xfId="24268"/>
    <cellStyle name="Normal 132 4 5" xfId="24269"/>
    <cellStyle name="Normal 132 5" xfId="1718"/>
    <cellStyle name="Normal 132 5 2" xfId="24270"/>
    <cellStyle name="Normal 132 5 2 2" xfId="24271"/>
    <cellStyle name="Normal 132 5 2 3" xfId="24272"/>
    <cellStyle name="Normal 132 5 2 4" xfId="24273"/>
    <cellStyle name="Normal 132 5 3" xfId="24274"/>
    <cellStyle name="Normal 132 5 4" xfId="24275"/>
    <cellStyle name="Normal 132 5 5" xfId="24276"/>
    <cellStyle name="Normal 132 6" xfId="24277"/>
    <cellStyle name="Normal 132 6 2" xfId="24278"/>
    <cellStyle name="Normal 132 6 3" xfId="24279"/>
    <cellStyle name="Normal 132 6 4" xfId="24280"/>
    <cellStyle name="Normal 132 7" xfId="24281"/>
    <cellStyle name="Normal 132 8" xfId="24282"/>
    <cellStyle name="Normal 132 9" xfId="24283"/>
    <cellStyle name="Normal 136" xfId="1719"/>
    <cellStyle name="Normal 136 2" xfId="1720"/>
    <cellStyle name="Normal 136 2 2" xfId="1721"/>
    <cellStyle name="Normal 136 2 2 2" xfId="1722"/>
    <cellStyle name="Normal 136 2 2 2 2" xfId="24284"/>
    <cellStyle name="Normal 136 2 2 2 2 2" xfId="24285"/>
    <cellStyle name="Normal 136 2 2 2 2 3" xfId="24286"/>
    <cellStyle name="Normal 136 2 2 2 2 4" xfId="24287"/>
    <cellStyle name="Normal 136 2 2 2 3" xfId="24288"/>
    <cellStyle name="Normal 136 2 2 2 4" xfId="24289"/>
    <cellStyle name="Normal 136 2 2 2 5" xfId="24290"/>
    <cellStyle name="Normal 136 2 2 3" xfId="1723"/>
    <cellStyle name="Normal 136 2 2 3 2" xfId="24291"/>
    <cellStyle name="Normal 136 2 2 3 2 2" xfId="24292"/>
    <cellStyle name="Normal 136 2 2 3 2 3" xfId="24293"/>
    <cellStyle name="Normal 136 2 2 3 2 4" xfId="24294"/>
    <cellStyle name="Normal 136 2 2 3 3" xfId="24295"/>
    <cellStyle name="Normal 136 2 2 3 4" xfId="24296"/>
    <cellStyle name="Normal 136 2 2 3 5" xfId="24297"/>
    <cellStyle name="Normal 136 2 2 4" xfId="24298"/>
    <cellStyle name="Normal 136 2 2 4 2" xfId="24299"/>
    <cellStyle name="Normal 136 2 2 4 3" xfId="24300"/>
    <cellStyle name="Normal 136 2 2 4 4" xfId="24301"/>
    <cellStyle name="Normal 136 2 2 5" xfId="24302"/>
    <cellStyle name="Normal 136 2 2 6" xfId="24303"/>
    <cellStyle name="Normal 136 2 2 7" xfId="24304"/>
    <cellStyle name="Normal 136 2 3" xfId="1724"/>
    <cellStyle name="Normal 136 2 3 2" xfId="24305"/>
    <cellStyle name="Normal 136 2 3 2 2" xfId="24306"/>
    <cellStyle name="Normal 136 2 3 2 3" xfId="24307"/>
    <cellStyle name="Normal 136 2 3 2 4" xfId="24308"/>
    <cellStyle name="Normal 136 2 3 3" xfId="24309"/>
    <cellStyle name="Normal 136 2 3 4" xfId="24310"/>
    <cellStyle name="Normal 136 2 3 5" xfId="24311"/>
    <cellStyle name="Normal 136 2 4" xfId="1725"/>
    <cellStyle name="Normal 136 2 4 2" xfId="24312"/>
    <cellStyle name="Normal 136 2 4 2 2" xfId="24313"/>
    <cellStyle name="Normal 136 2 4 2 3" xfId="24314"/>
    <cellStyle name="Normal 136 2 4 2 4" xfId="24315"/>
    <cellStyle name="Normal 136 2 4 3" xfId="24316"/>
    <cellStyle name="Normal 136 2 4 4" xfId="24317"/>
    <cellStyle name="Normal 136 2 4 5" xfId="24318"/>
    <cellStyle name="Normal 136 2 5" xfId="24319"/>
    <cellStyle name="Normal 136 2 5 2" xfId="24320"/>
    <cellStyle name="Normal 136 2 5 3" xfId="24321"/>
    <cellStyle name="Normal 136 2 5 4" xfId="24322"/>
    <cellStyle name="Normal 136 2 6" xfId="24323"/>
    <cellStyle name="Normal 136 2 7" xfId="24324"/>
    <cellStyle name="Normal 136 2 8" xfId="24325"/>
    <cellStyle name="Normal 136 3" xfId="1726"/>
    <cellStyle name="Normal 136 3 2" xfId="1727"/>
    <cellStyle name="Normal 136 3 2 2" xfId="24326"/>
    <cellStyle name="Normal 136 3 2 2 2" xfId="24327"/>
    <cellStyle name="Normal 136 3 2 2 3" xfId="24328"/>
    <cellStyle name="Normal 136 3 2 2 4" xfId="24329"/>
    <cellStyle name="Normal 136 3 2 3" xfId="24330"/>
    <cellStyle name="Normal 136 3 2 4" xfId="24331"/>
    <cellStyle name="Normal 136 3 2 5" xfId="24332"/>
    <cellStyle name="Normal 136 3 3" xfId="1728"/>
    <cellStyle name="Normal 136 3 3 2" xfId="24333"/>
    <cellStyle name="Normal 136 3 3 2 2" xfId="24334"/>
    <cellStyle name="Normal 136 3 3 2 3" xfId="24335"/>
    <cellStyle name="Normal 136 3 3 2 4" xfId="24336"/>
    <cellStyle name="Normal 136 3 3 3" xfId="24337"/>
    <cellStyle name="Normal 136 3 3 4" xfId="24338"/>
    <cellStyle name="Normal 136 3 3 5" xfId="24339"/>
    <cellStyle name="Normal 136 3 4" xfId="24340"/>
    <cellStyle name="Normal 136 3 4 2" xfId="24341"/>
    <cellStyle name="Normal 136 3 4 3" xfId="24342"/>
    <cellStyle name="Normal 136 3 4 4" xfId="24343"/>
    <cellStyle name="Normal 136 3 5" xfId="24344"/>
    <cellStyle name="Normal 136 3 6" xfId="24345"/>
    <cellStyle name="Normal 136 3 7" xfId="24346"/>
    <cellStyle name="Normal 136 4" xfId="1729"/>
    <cellStyle name="Normal 136 4 2" xfId="24347"/>
    <cellStyle name="Normal 136 4 2 2" xfId="24348"/>
    <cellStyle name="Normal 136 4 2 3" xfId="24349"/>
    <cellStyle name="Normal 136 4 2 4" xfId="24350"/>
    <cellStyle name="Normal 136 4 3" xfId="24351"/>
    <cellStyle name="Normal 136 4 4" xfId="24352"/>
    <cellStyle name="Normal 136 4 5" xfId="24353"/>
    <cellStyle name="Normal 136 5" xfId="1730"/>
    <cellStyle name="Normal 136 5 2" xfId="24354"/>
    <cellStyle name="Normal 136 5 2 2" xfId="24355"/>
    <cellStyle name="Normal 136 5 2 3" xfId="24356"/>
    <cellStyle name="Normal 136 5 2 4" xfId="24357"/>
    <cellStyle name="Normal 136 5 3" xfId="24358"/>
    <cellStyle name="Normal 136 5 4" xfId="24359"/>
    <cellStyle name="Normal 136 5 5" xfId="24360"/>
    <cellStyle name="Normal 136 6" xfId="24361"/>
    <cellStyle name="Normal 136 6 2" xfId="24362"/>
    <cellStyle name="Normal 136 6 3" xfId="24363"/>
    <cellStyle name="Normal 136 6 4" xfId="24364"/>
    <cellStyle name="Normal 136 7" xfId="24365"/>
    <cellStyle name="Normal 136 8" xfId="24366"/>
    <cellStyle name="Normal 136 9" xfId="24367"/>
    <cellStyle name="Normal 138" xfId="1731"/>
    <cellStyle name="Normal 138 2" xfId="1732"/>
    <cellStyle name="Normal 138 2 2" xfId="1733"/>
    <cellStyle name="Normal 138 2 2 2" xfId="1734"/>
    <cellStyle name="Normal 138 2 2 2 2" xfId="24368"/>
    <cellStyle name="Normal 138 2 2 2 2 2" xfId="24369"/>
    <cellStyle name="Normal 138 2 2 2 2 3" xfId="24370"/>
    <cellStyle name="Normal 138 2 2 2 2 4" xfId="24371"/>
    <cellStyle name="Normal 138 2 2 2 3" xfId="24372"/>
    <cellStyle name="Normal 138 2 2 2 4" xfId="24373"/>
    <cellStyle name="Normal 138 2 2 2 5" xfId="24374"/>
    <cellStyle name="Normal 138 2 2 3" xfId="1735"/>
    <cellStyle name="Normal 138 2 2 3 2" xfId="24375"/>
    <cellStyle name="Normal 138 2 2 3 2 2" xfId="24376"/>
    <cellStyle name="Normal 138 2 2 3 2 3" xfId="24377"/>
    <cellStyle name="Normal 138 2 2 3 2 4" xfId="24378"/>
    <cellStyle name="Normal 138 2 2 3 3" xfId="24379"/>
    <cellStyle name="Normal 138 2 2 3 4" xfId="24380"/>
    <cellStyle name="Normal 138 2 2 3 5" xfId="24381"/>
    <cellStyle name="Normal 138 2 2 4" xfId="24382"/>
    <cellStyle name="Normal 138 2 2 4 2" xfId="24383"/>
    <cellStyle name="Normal 138 2 2 4 3" xfId="24384"/>
    <cellStyle name="Normal 138 2 2 4 4" xfId="24385"/>
    <cellStyle name="Normal 138 2 2 5" xfId="24386"/>
    <cellStyle name="Normal 138 2 2 6" xfId="24387"/>
    <cellStyle name="Normal 138 2 2 7" xfId="24388"/>
    <cellStyle name="Normal 138 2 3" xfId="1736"/>
    <cellStyle name="Normal 138 2 3 2" xfId="24389"/>
    <cellStyle name="Normal 138 2 3 2 2" xfId="24390"/>
    <cellStyle name="Normal 138 2 3 2 3" xfId="24391"/>
    <cellStyle name="Normal 138 2 3 2 4" xfId="24392"/>
    <cellStyle name="Normal 138 2 3 3" xfId="24393"/>
    <cellStyle name="Normal 138 2 3 4" xfId="24394"/>
    <cellStyle name="Normal 138 2 3 5" xfId="24395"/>
    <cellStyle name="Normal 138 2 4" xfId="1737"/>
    <cellStyle name="Normal 138 2 4 2" xfId="24396"/>
    <cellStyle name="Normal 138 2 4 2 2" xfId="24397"/>
    <cellStyle name="Normal 138 2 4 2 3" xfId="24398"/>
    <cellStyle name="Normal 138 2 4 2 4" xfId="24399"/>
    <cellStyle name="Normal 138 2 4 3" xfId="24400"/>
    <cellStyle name="Normal 138 2 4 4" xfId="24401"/>
    <cellStyle name="Normal 138 2 4 5" xfId="24402"/>
    <cellStyle name="Normal 138 2 5" xfId="24403"/>
    <cellStyle name="Normal 138 2 5 2" xfId="24404"/>
    <cellStyle name="Normal 138 2 5 3" xfId="24405"/>
    <cellStyle name="Normal 138 2 5 4" xfId="24406"/>
    <cellStyle name="Normal 138 2 6" xfId="24407"/>
    <cellStyle name="Normal 138 2 7" xfId="24408"/>
    <cellStyle name="Normal 138 2 8" xfId="24409"/>
    <cellStyle name="Normal 138 3" xfId="1738"/>
    <cellStyle name="Normal 138 3 2" xfId="1739"/>
    <cellStyle name="Normal 138 3 2 2" xfId="24410"/>
    <cellStyle name="Normal 138 3 2 2 2" xfId="24411"/>
    <cellStyle name="Normal 138 3 2 2 3" xfId="24412"/>
    <cellStyle name="Normal 138 3 2 2 4" xfId="24413"/>
    <cellStyle name="Normal 138 3 2 3" xfId="24414"/>
    <cellStyle name="Normal 138 3 2 4" xfId="24415"/>
    <cellStyle name="Normal 138 3 2 5" xfId="24416"/>
    <cellStyle name="Normal 138 3 3" xfId="1740"/>
    <cellStyle name="Normal 138 3 3 2" xfId="24417"/>
    <cellStyle name="Normal 138 3 3 2 2" xfId="24418"/>
    <cellStyle name="Normal 138 3 3 2 3" xfId="24419"/>
    <cellStyle name="Normal 138 3 3 2 4" xfId="24420"/>
    <cellStyle name="Normal 138 3 3 3" xfId="24421"/>
    <cellStyle name="Normal 138 3 3 4" xfId="24422"/>
    <cellStyle name="Normal 138 3 3 5" xfId="24423"/>
    <cellStyle name="Normal 138 3 4" xfId="24424"/>
    <cellStyle name="Normal 138 3 4 2" xfId="24425"/>
    <cellStyle name="Normal 138 3 4 3" xfId="24426"/>
    <cellStyle name="Normal 138 3 4 4" xfId="24427"/>
    <cellStyle name="Normal 138 3 5" xfId="24428"/>
    <cellStyle name="Normal 138 3 6" xfId="24429"/>
    <cellStyle name="Normal 138 3 7" xfId="24430"/>
    <cellStyle name="Normal 138 4" xfId="1741"/>
    <cellStyle name="Normal 138 4 2" xfId="24431"/>
    <cellStyle name="Normal 138 4 2 2" xfId="24432"/>
    <cellStyle name="Normal 138 4 2 3" xfId="24433"/>
    <cellStyle name="Normal 138 4 2 4" xfId="24434"/>
    <cellStyle name="Normal 138 4 3" xfId="24435"/>
    <cellStyle name="Normal 138 4 4" xfId="24436"/>
    <cellStyle name="Normal 138 4 5" xfId="24437"/>
    <cellStyle name="Normal 138 5" xfId="1742"/>
    <cellStyle name="Normal 138 5 2" xfId="24438"/>
    <cellStyle name="Normal 138 5 2 2" xfId="24439"/>
    <cellStyle name="Normal 138 5 2 3" xfId="24440"/>
    <cellStyle name="Normal 138 5 2 4" xfId="24441"/>
    <cellStyle name="Normal 138 5 3" xfId="24442"/>
    <cellStyle name="Normal 138 5 4" xfId="24443"/>
    <cellStyle name="Normal 138 5 5" xfId="24444"/>
    <cellStyle name="Normal 138 6" xfId="24445"/>
    <cellStyle name="Normal 138 6 2" xfId="24446"/>
    <cellStyle name="Normal 138 6 3" xfId="24447"/>
    <cellStyle name="Normal 138 6 4" xfId="24448"/>
    <cellStyle name="Normal 138 7" xfId="24449"/>
    <cellStyle name="Normal 138 8" xfId="24450"/>
    <cellStyle name="Normal 138 9" xfId="24451"/>
    <cellStyle name="Normal 14" xfId="1743"/>
    <cellStyle name="Normal 14 10" xfId="1744"/>
    <cellStyle name="Normal 14 10 2" xfId="1745"/>
    <cellStyle name="Normal 14 10 2 2" xfId="1746"/>
    <cellStyle name="Normal 14 10 2 2 2" xfId="1747"/>
    <cellStyle name="Normal 14 10 2 2 2 2" xfId="24452"/>
    <cellStyle name="Normal 14 10 2 2 2 2 2" xfId="24453"/>
    <cellStyle name="Normal 14 10 2 2 2 2 3" xfId="24454"/>
    <cellStyle name="Normal 14 10 2 2 2 2 4" xfId="24455"/>
    <cellStyle name="Normal 14 10 2 2 2 3" xfId="24456"/>
    <cellStyle name="Normal 14 10 2 2 2 4" xfId="24457"/>
    <cellStyle name="Normal 14 10 2 2 2 5" xfId="24458"/>
    <cellStyle name="Normal 14 10 2 2 3" xfId="1748"/>
    <cellStyle name="Normal 14 10 2 2 3 2" xfId="24459"/>
    <cellStyle name="Normal 14 10 2 2 3 2 2" xfId="24460"/>
    <cellStyle name="Normal 14 10 2 2 3 2 3" xfId="24461"/>
    <cellStyle name="Normal 14 10 2 2 3 2 4" xfId="24462"/>
    <cellStyle name="Normal 14 10 2 2 3 3" xfId="24463"/>
    <cellStyle name="Normal 14 10 2 2 3 4" xfId="24464"/>
    <cellStyle name="Normal 14 10 2 2 3 5" xfId="24465"/>
    <cellStyle name="Normal 14 10 2 2 4" xfId="24466"/>
    <cellStyle name="Normal 14 10 2 2 4 2" xfId="24467"/>
    <cellStyle name="Normal 14 10 2 2 4 3" xfId="24468"/>
    <cellStyle name="Normal 14 10 2 2 4 4" xfId="24469"/>
    <cellStyle name="Normal 14 10 2 2 5" xfId="24470"/>
    <cellStyle name="Normal 14 10 2 2 6" xfId="24471"/>
    <cellStyle name="Normal 14 10 2 2 7" xfId="24472"/>
    <cellStyle name="Normal 14 10 2 3" xfId="1749"/>
    <cellStyle name="Normal 14 10 2 3 2" xfId="24473"/>
    <cellStyle name="Normal 14 10 2 3 2 2" xfId="24474"/>
    <cellStyle name="Normal 14 10 2 3 2 3" xfId="24475"/>
    <cellStyle name="Normal 14 10 2 3 2 4" xfId="24476"/>
    <cellStyle name="Normal 14 10 2 3 3" xfId="24477"/>
    <cellStyle name="Normal 14 10 2 3 4" xfId="24478"/>
    <cellStyle name="Normal 14 10 2 3 5" xfId="24479"/>
    <cellStyle name="Normal 14 10 2 4" xfId="1750"/>
    <cellStyle name="Normal 14 10 2 4 2" xfId="24480"/>
    <cellStyle name="Normal 14 10 2 4 2 2" xfId="24481"/>
    <cellStyle name="Normal 14 10 2 4 2 3" xfId="24482"/>
    <cellStyle name="Normal 14 10 2 4 2 4" xfId="24483"/>
    <cellStyle name="Normal 14 10 2 4 3" xfId="24484"/>
    <cellStyle name="Normal 14 10 2 4 4" xfId="24485"/>
    <cellStyle name="Normal 14 10 2 4 5" xfId="24486"/>
    <cellStyle name="Normal 14 10 2 5" xfId="24487"/>
    <cellStyle name="Normal 14 10 2 5 2" xfId="24488"/>
    <cellStyle name="Normal 14 10 2 5 3" xfId="24489"/>
    <cellStyle name="Normal 14 10 2 5 4" xfId="24490"/>
    <cellStyle name="Normal 14 10 2 6" xfId="24491"/>
    <cellStyle name="Normal 14 10 2 7" xfId="24492"/>
    <cellStyle name="Normal 14 10 2 8" xfId="24493"/>
    <cellStyle name="Normal 14 10 3" xfId="1751"/>
    <cellStyle name="Normal 14 10 3 2" xfId="1752"/>
    <cellStyle name="Normal 14 10 3 2 2" xfId="24494"/>
    <cellStyle name="Normal 14 10 3 2 2 2" xfId="24495"/>
    <cellStyle name="Normal 14 10 3 2 2 3" xfId="24496"/>
    <cellStyle name="Normal 14 10 3 2 2 4" xfId="24497"/>
    <cellStyle name="Normal 14 10 3 2 3" xfId="24498"/>
    <cellStyle name="Normal 14 10 3 2 4" xfId="24499"/>
    <cellStyle name="Normal 14 10 3 2 5" xfId="24500"/>
    <cellStyle name="Normal 14 10 3 3" xfId="1753"/>
    <cellStyle name="Normal 14 10 3 3 2" xfId="24501"/>
    <cellStyle name="Normal 14 10 3 3 2 2" xfId="24502"/>
    <cellStyle name="Normal 14 10 3 3 2 3" xfId="24503"/>
    <cellStyle name="Normal 14 10 3 3 2 4" xfId="24504"/>
    <cellStyle name="Normal 14 10 3 3 3" xfId="24505"/>
    <cellStyle name="Normal 14 10 3 3 4" xfId="24506"/>
    <cellStyle name="Normal 14 10 3 3 5" xfId="24507"/>
    <cellStyle name="Normal 14 10 3 4" xfId="24508"/>
    <cellStyle name="Normal 14 10 3 4 2" xfId="24509"/>
    <cellStyle name="Normal 14 10 3 4 3" xfId="24510"/>
    <cellStyle name="Normal 14 10 3 4 4" xfId="24511"/>
    <cellStyle name="Normal 14 10 3 5" xfId="24512"/>
    <cellStyle name="Normal 14 10 3 6" xfId="24513"/>
    <cellStyle name="Normal 14 10 3 7" xfId="24514"/>
    <cellStyle name="Normal 14 10 4" xfId="1754"/>
    <cellStyle name="Normal 14 10 4 2" xfId="24515"/>
    <cellStyle name="Normal 14 10 4 2 2" xfId="24516"/>
    <cellStyle name="Normal 14 10 4 2 3" xfId="24517"/>
    <cellStyle name="Normal 14 10 4 2 4" xfId="24518"/>
    <cellStyle name="Normal 14 10 4 3" xfId="24519"/>
    <cellStyle name="Normal 14 10 4 4" xfId="24520"/>
    <cellStyle name="Normal 14 10 4 5" xfId="24521"/>
    <cellStyle name="Normal 14 10 5" xfId="1755"/>
    <cellStyle name="Normal 14 10 5 2" xfId="24522"/>
    <cellStyle name="Normal 14 10 5 2 2" xfId="24523"/>
    <cellStyle name="Normal 14 10 5 2 3" xfId="24524"/>
    <cellStyle name="Normal 14 10 5 2 4" xfId="24525"/>
    <cellStyle name="Normal 14 10 5 3" xfId="24526"/>
    <cellStyle name="Normal 14 10 5 4" xfId="24527"/>
    <cellStyle name="Normal 14 10 5 5" xfId="24528"/>
    <cellStyle name="Normal 14 10 6" xfId="24529"/>
    <cellStyle name="Normal 14 10 6 2" xfId="24530"/>
    <cellStyle name="Normal 14 10 6 3" xfId="24531"/>
    <cellStyle name="Normal 14 10 6 4" xfId="24532"/>
    <cellStyle name="Normal 14 10 7" xfId="24533"/>
    <cellStyle name="Normal 14 10 8" xfId="24534"/>
    <cellStyle name="Normal 14 10 9" xfId="24535"/>
    <cellStyle name="Normal 14 11" xfId="1756"/>
    <cellStyle name="Normal 14 11 2" xfId="1757"/>
    <cellStyle name="Normal 14 11 2 2" xfId="1758"/>
    <cellStyle name="Normal 14 11 2 2 2" xfId="1759"/>
    <cellStyle name="Normal 14 11 2 2 2 2" xfId="24536"/>
    <cellStyle name="Normal 14 11 2 2 2 2 2" xfId="24537"/>
    <cellStyle name="Normal 14 11 2 2 2 2 3" xfId="24538"/>
    <cellStyle name="Normal 14 11 2 2 2 2 4" xfId="24539"/>
    <cellStyle name="Normal 14 11 2 2 2 3" xfId="24540"/>
    <cellStyle name="Normal 14 11 2 2 2 4" xfId="24541"/>
    <cellStyle name="Normal 14 11 2 2 2 5" xfId="24542"/>
    <cellStyle name="Normal 14 11 2 2 3" xfId="1760"/>
    <cellStyle name="Normal 14 11 2 2 3 2" xfId="24543"/>
    <cellStyle name="Normal 14 11 2 2 3 2 2" xfId="24544"/>
    <cellStyle name="Normal 14 11 2 2 3 2 3" xfId="24545"/>
    <cellStyle name="Normal 14 11 2 2 3 2 4" xfId="24546"/>
    <cellStyle name="Normal 14 11 2 2 3 3" xfId="24547"/>
    <cellStyle name="Normal 14 11 2 2 3 4" xfId="24548"/>
    <cellStyle name="Normal 14 11 2 2 3 5" xfId="24549"/>
    <cellStyle name="Normal 14 11 2 2 4" xfId="24550"/>
    <cellStyle name="Normal 14 11 2 2 4 2" xfId="24551"/>
    <cellStyle name="Normal 14 11 2 2 4 3" xfId="24552"/>
    <cellStyle name="Normal 14 11 2 2 4 4" xfId="24553"/>
    <cellStyle name="Normal 14 11 2 2 5" xfId="24554"/>
    <cellStyle name="Normal 14 11 2 2 6" xfId="24555"/>
    <cellStyle name="Normal 14 11 2 2 7" xfId="24556"/>
    <cellStyle name="Normal 14 11 2 3" xfId="1761"/>
    <cellStyle name="Normal 14 11 2 3 2" xfId="24557"/>
    <cellStyle name="Normal 14 11 2 3 2 2" xfId="24558"/>
    <cellStyle name="Normal 14 11 2 3 2 3" xfId="24559"/>
    <cellStyle name="Normal 14 11 2 3 2 4" xfId="24560"/>
    <cellStyle name="Normal 14 11 2 3 3" xfId="24561"/>
    <cellStyle name="Normal 14 11 2 3 4" xfId="24562"/>
    <cellStyle name="Normal 14 11 2 3 5" xfId="24563"/>
    <cellStyle name="Normal 14 11 2 4" xfId="1762"/>
    <cellStyle name="Normal 14 11 2 4 2" xfId="24564"/>
    <cellStyle name="Normal 14 11 2 4 2 2" xfId="24565"/>
    <cellStyle name="Normal 14 11 2 4 2 3" xfId="24566"/>
    <cellStyle name="Normal 14 11 2 4 2 4" xfId="24567"/>
    <cellStyle name="Normal 14 11 2 4 3" xfId="24568"/>
    <cellStyle name="Normal 14 11 2 4 4" xfId="24569"/>
    <cellStyle name="Normal 14 11 2 4 5" xfId="24570"/>
    <cellStyle name="Normal 14 11 2 5" xfId="24571"/>
    <cellStyle name="Normal 14 11 2 5 2" xfId="24572"/>
    <cellStyle name="Normal 14 11 2 5 3" xfId="24573"/>
    <cellStyle name="Normal 14 11 2 5 4" xfId="24574"/>
    <cellStyle name="Normal 14 11 2 6" xfId="24575"/>
    <cellStyle name="Normal 14 11 2 7" xfId="24576"/>
    <cellStyle name="Normal 14 11 2 8" xfId="24577"/>
    <cellStyle name="Normal 14 11 3" xfId="1763"/>
    <cellStyle name="Normal 14 11 3 2" xfId="1764"/>
    <cellStyle name="Normal 14 11 3 2 2" xfId="24578"/>
    <cellStyle name="Normal 14 11 3 2 2 2" xfId="24579"/>
    <cellStyle name="Normal 14 11 3 2 2 3" xfId="24580"/>
    <cellStyle name="Normal 14 11 3 2 2 4" xfId="24581"/>
    <cellStyle name="Normal 14 11 3 2 3" xfId="24582"/>
    <cellStyle name="Normal 14 11 3 2 4" xfId="24583"/>
    <cellStyle name="Normal 14 11 3 2 5" xfId="24584"/>
    <cellStyle name="Normal 14 11 3 3" xfId="1765"/>
    <cellStyle name="Normal 14 11 3 3 2" xfId="24585"/>
    <cellStyle name="Normal 14 11 3 3 2 2" xfId="24586"/>
    <cellStyle name="Normal 14 11 3 3 2 3" xfId="24587"/>
    <cellStyle name="Normal 14 11 3 3 2 4" xfId="24588"/>
    <cellStyle name="Normal 14 11 3 3 3" xfId="24589"/>
    <cellStyle name="Normal 14 11 3 3 4" xfId="24590"/>
    <cellStyle name="Normal 14 11 3 3 5" xfId="24591"/>
    <cellStyle name="Normal 14 11 3 4" xfId="24592"/>
    <cellStyle name="Normal 14 11 3 4 2" xfId="24593"/>
    <cellStyle name="Normal 14 11 3 4 3" xfId="24594"/>
    <cellStyle name="Normal 14 11 3 4 4" xfId="24595"/>
    <cellStyle name="Normal 14 11 3 5" xfId="24596"/>
    <cellStyle name="Normal 14 11 3 6" xfId="24597"/>
    <cellStyle name="Normal 14 11 3 7" xfId="24598"/>
    <cellStyle name="Normal 14 11 4" xfId="1766"/>
    <cellStyle name="Normal 14 11 4 2" xfId="24599"/>
    <cellStyle name="Normal 14 11 4 2 2" xfId="24600"/>
    <cellStyle name="Normal 14 11 4 2 3" xfId="24601"/>
    <cellStyle name="Normal 14 11 4 2 4" xfId="24602"/>
    <cellStyle name="Normal 14 11 4 3" xfId="24603"/>
    <cellStyle name="Normal 14 11 4 4" xfId="24604"/>
    <cellStyle name="Normal 14 11 4 5" xfId="24605"/>
    <cellStyle name="Normal 14 11 5" xfId="1767"/>
    <cellStyle name="Normal 14 11 5 2" xfId="24606"/>
    <cellStyle name="Normal 14 11 5 2 2" xfId="24607"/>
    <cellStyle name="Normal 14 11 5 2 3" xfId="24608"/>
    <cellStyle name="Normal 14 11 5 2 4" xfId="24609"/>
    <cellStyle name="Normal 14 11 5 3" xfId="24610"/>
    <cellStyle name="Normal 14 11 5 4" xfId="24611"/>
    <cellStyle name="Normal 14 11 5 5" xfId="24612"/>
    <cellStyle name="Normal 14 11 6" xfId="24613"/>
    <cellStyle name="Normal 14 11 6 2" xfId="24614"/>
    <cellStyle name="Normal 14 11 6 3" xfId="24615"/>
    <cellStyle name="Normal 14 11 6 4" xfId="24616"/>
    <cellStyle name="Normal 14 11 7" xfId="24617"/>
    <cellStyle name="Normal 14 11 8" xfId="24618"/>
    <cellStyle name="Normal 14 11 9" xfId="24619"/>
    <cellStyle name="Normal 14 12" xfId="1768"/>
    <cellStyle name="Normal 14 12 2" xfId="1769"/>
    <cellStyle name="Normal 14 12 2 2" xfId="1770"/>
    <cellStyle name="Normal 14 12 2 2 2" xfId="1771"/>
    <cellStyle name="Normal 14 12 2 2 2 2" xfId="24620"/>
    <cellStyle name="Normal 14 12 2 2 2 2 2" xfId="24621"/>
    <cellStyle name="Normal 14 12 2 2 2 2 3" xfId="24622"/>
    <cellStyle name="Normal 14 12 2 2 2 2 4" xfId="24623"/>
    <cellStyle name="Normal 14 12 2 2 2 3" xfId="24624"/>
    <cellStyle name="Normal 14 12 2 2 2 4" xfId="24625"/>
    <cellStyle name="Normal 14 12 2 2 2 5" xfId="24626"/>
    <cellStyle name="Normal 14 12 2 2 3" xfId="1772"/>
    <cellStyle name="Normal 14 12 2 2 3 2" xfId="24627"/>
    <cellStyle name="Normal 14 12 2 2 3 2 2" xfId="24628"/>
    <cellStyle name="Normal 14 12 2 2 3 2 3" xfId="24629"/>
    <cellStyle name="Normal 14 12 2 2 3 2 4" xfId="24630"/>
    <cellStyle name="Normal 14 12 2 2 3 3" xfId="24631"/>
    <cellStyle name="Normal 14 12 2 2 3 4" xfId="24632"/>
    <cellStyle name="Normal 14 12 2 2 3 5" xfId="24633"/>
    <cellStyle name="Normal 14 12 2 2 4" xfId="24634"/>
    <cellStyle name="Normal 14 12 2 2 4 2" xfId="24635"/>
    <cellStyle name="Normal 14 12 2 2 4 3" xfId="24636"/>
    <cellStyle name="Normal 14 12 2 2 4 4" xfId="24637"/>
    <cellStyle name="Normal 14 12 2 2 5" xfId="24638"/>
    <cellStyle name="Normal 14 12 2 2 6" xfId="24639"/>
    <cellStyle name="Normal 14 12 2 2 7" xfId="24640"/>
    <cellStyle name="Normal 14 12 2 3" xfId="1773"/>
    <cellStyle name="Normal 14 12 2 3 2" xfId="24641"/>
    <cellStyle name="Normal 14 12 2 3 2 2" xfId="24642"/>
    <cellStyle name="Normal 14 12 2 3 2 3" xfId="24643"/>
    <cellStyle name="Normal 14 12 2 3 2 4" xfId="24644"/>
    <cellStyle name="Normal 14 12 2 3 3" xfId="24645"/>
    <cellStyle name="Normal 14 12 2 3 4" xfId="24646"/>
    <cellStyle name="Normal 14 12 2 3 5" xfId="24647"/>
    <cellStyle name="Normal 14 12 2 4" xfId="1774"/>
    <cellStyle name="Normal 14 12 2 4 2" xfId="24648"/>
    <cellStyle name="Normal 14 12 2 4 2 2" xfId="24649"/>
    <cellStyle name="Normal 14 12 2 4 2 3" xfId="24650"/>
    <cellStyle name="Normal 14 12 2 4 2 4" xfId="24651"/>
    <cellStyle name="Normal 14 12 2 4 3" xfId="24652"/>
    <cellStyle name="Normal 14 12 2 4 4" xfId="24653"/>
    <cellStyle name="Normal 14 12 2 4 5" xfId="24654"/>
    <cellStyle name="Normal 14 12 2 5" xfId="24655"/>
    <cellStyle name="Normal 14 12 2 5 2" xfId="24656"/>
    <cellStyle name="Normal 14 12 2 5 3" xfId="24657"/>
    <cellStyle name="Normal 14 12 2 5 4" xfId="24658"/>
    <cellStyle name="Normal 14 12 2 6" xfId="24659"/>
    <cellStyle name="Normal 14 12 2 7" xfId="24660"/>
    <cellStyle name="Normal 14 12 2 8" xfId="24661"/>
    <cellStyle name="Normal 14 12 3" xfId="1775"/>
    <cellStyle name="Normal 14 12 3 2" xfId="1776"/>
    <cellStyle name="Normal 14 12 3 2 2" xfId="24662"/>
    <cellStyle name="Normal 14 12 3 2 2 2" xfId="24663"/>
    <cellStyle name="Normal 14 12 3 2 2 3" xfId="24664"/>
    <cellStyle name="Normal 14 12 3 2 2 4" xfId="24665"/>
    <cellStyle name="Normal 14 12 3 2 3" xfId="24666"/>
    <cellStyle name="Normal 14 12 3 2 4" xfId="24667"/>
    <cellStyle name="Normal 14 12 3 2 5" xfId="24668"/>
    <cellStyle name="Normal 14 12 3 3" xfId="1777"/>
    <cellStyle name="Normal 14 12 3 3 2" xfId="24669"/>
    <cellStyle name="Normal 14 12 3 3 2 2" xfId="24670"/>
    <cellStyle name="Normal 14 12 3 3 2 3" xfId="24671"/>
    <cellStyle name="Normal 14 12 3 3 2 4" xfId="24672"/>
    <cellStyle name="Normal 14 12 3 3 3" xfId="24673"/>
    <cellStyle name="Normal 14 12 3 3 4" xfId="24674"/>
    <cellStyle name="Normal 14 12 3 3 5" xfId="24675"/>
    <cellStyle name="Normal 14 12 3 4" xfId="24676"/>
    <cellStyle name="Normal 14 12 3 4 2" xfId="24677"/>
    <cellStyle name="Normal 14 12 3 4 3" xfId="24678"/>
    <cellStyle name="Normal 14 12 3 4 4" xfId="24679"/>
    <cellStyle name="Normal 14 12 3 5" xfId="24680"/>
    <cellStyle name="Normal 14 12 3 6" xfId="24681"/>
    <cellStyle name="Normal 14 12 3 7" xfId="24682"/>
    <cellStyle name="Normal 14 12 4" xfId="1778"/>
    <cellStyle name="Normal 14 12 4 2" xfId="24683"/>
    <cellStyle name="Normal 14 12 4 2 2" xfId="24684"/>
    <cellStyle name="Normal 14 12 4 2 3" xfId="24685"/>
    <cellStyle name="Normal 14 12 4 2 4" xfId="24686"/>
    <cellStyle name="Normal 14 12 4 3" xfId="24687"/>
    <cellStyle name="Normal 14 12 4 4" xfId="24688"/>
    <cellStyle name="Normal 14 12 4 5" xfId="24689"/>
    <cellStyle name="Normal 14 12 5" xfId="1779"/>
    <cellStyle name="Normal 14 12 5 2" xfId="24690"/>
    <cellStyle name="Normal 14 12 5 2 2" xfId="24691"/>
    <cellStyle name="Normal 14 12 5 2 3" xfId="24692"/>
    <cellStyle name="Normal 14 12 5 2 4" xfId="24693"/>
    <cellStyle name="Normal 14 12 5 3" xfId="24694"/>
    <cellStyle name="Normal 14 12 5 4" xfId="24695"/>
    <cellStyle name="Normal 14 12 5 5" xfId="24696"/>
    <cellStyle name="Normal 14 12 6" xfId="24697"/>
    <cellStyle name="Normal 14 12 6 2" xfId="24698"/>
    <cellStyle name="Normal 14 12 6 3" xfId="24699"/>
    <cellStyle name="Normal 14 12 6 4" xfId="24700"/>
    <cellStyle name="Normal 14 12 7" xfId="24701"/>
    <cellStyle name="Normal 14 12 8" xfId="24702"/>
    <cellStyle name="Normal 14 12 9" xfId="24703"/>
    <cellStyle name="Normal 14 13" xfId="1780"/>
    <cellStyle name="Normal 14 13 2" xfId="1781"/>
    <cellStyle name="Normal 14 13 2 2" xfId="1782"/>
    <cellStyle name="Normal 14 13 2 2 2" xfId="1783"/>
    <cellStyle name="Normal 14 13 2 2 2 2" xfId="24704"/>
    <cellStyle name="Normal 14 13 2 2 2 2 2" xfId="24705"/>
    <cellStyle name="Normal 14 13 2 2 2 2 3" xfId="24706"/>
    <cellStyle name="Normal 14 13 2 2 2 2 4" xfId="24707"/>
    <cellStyle name="Normal 14 13 2 2 2 3" xfId="24708"/>
    <cellStyle name="Normal 14 13 2 2 2 4" xfId="24709"/>
    <cellStyle name="Normal 14 13 2 2 2 5" xfId="24710"/>
    <cellStyle name="Normal 14 13 2 2 3" xfId="1784"/>
    <cellStyle name="Normal 14 13 2 2 3 2" xfId="24711"/>
    <cellStyle name="Normal 14 13 2 2 3 2 2" xfId="24712"/>
    <cellStyle name="Normal 14 13 2 2 3 2 3" xfId="24713"/>
    <cellStyle name="Normal 14 13 2 2 3 2 4" xfId="24714"/>
    <cellStyle name="Normal 14 13 2 2 3 3" xfId="24715"/>
    <cellStyle name="Normal 14 13 2 2 3 4" xfId="24716"/>
    <cellStyle name="Normal 14 13 2 2 3 5" xfId="24717"/>
    <cellStyle name="Normal 14 13 2 2 4" xfId="24718"/>
    <cellStyle name="Normal 14 13 2 2 4 2" xfId="24719"/>
    <cellStyle name="Normal 14 13 2 2 4 3" xfId="24720"/>
    <cellStyle name="Normal 14 13 2 2 4 4" xfId="24721"/>
    <cellStyle name="Normal 14 13 2 2 5" xfId="24722"/>
    <cellStyle name="Normal 14 13 2 2 6" xfId="24723"/>
    <cellStyle name="Normal 14 13 2 2 7" xfId="24724"/>
    <cellStyle name="Normal 14 13 2 3" xfId="1785"/>
    <cellStyle name="Normal 14 13 2 3 2" xfId="24725"/>
    <cellStyle name="Normal 14 13 2 3 2 2" xfId="24726"/>
    <cellStyle name="Normal 14 13 2 3 2 3" xfId="24727"/>
    <cellStyle name="Normal 14 13 2 3 2 4" xfId="24728"/>
    <cellStyle name="Normal 14 13 2 3 3" xfId="24729"/>
    <cellStyle name="Normal 14 13 2 3 4" xfId="24730"/>
    <cellStyle name="Normal 14 13 2 3 5" xfId="24731"/>
    <cellStyle name="Normal 14 13 2 4" xfId="1786"/>
    <cellStyle name="Normal 14 13 2 4 2" xfId="24732"/>
    <cellStyle name="Normal 14 13 2 4 2 2" xfId="24733"/>
    <cellStyle name="Normal 14 13 2 4 2 3" xfId="24734"/>
    <cellStyle name="Normal 14 13 2 4 2 4" xfId="24735"/>
    <cellStyle name="Normal 14 13 2 4 3" xfId="24736"/>
    <cellStyle name="Normal 14 13 2 4 4" xfId="24737"/>
    <cellStyle name="Normal 14 13 2 4 5" xfId="24738"/>
    <cellStyle name="Normal 14 13 2 5" xfId="24739"/>
    <cellStyle name="Normal 14 13 2 5 2" xfId="24740"/>
    <cellStyle name="Normal 14 13 2 5 3" xfId="24741"/>
    <cellStyle name="Normal 14 13 2 5 4" xfId="24742"/>
    <cellStyle name="Normal 14 13 2 6" xfId="24743"/>
    <cellStyle name="Normal 14 13 2 7" xfId="24744"/>
    <cellStyle name="Normal 14 13 2 8" xfId="24745"/>
    <cellStyle name="Normal 14 13 3" xfId="1787"/>
    <cellStyle name="Normal 14 13 3 2" xfId="1788"/>
    <cellStyle name="Normal 14 13 3 2 2" xfId="24746"/>
    <cellStyle name="Normal 14 13 3 2 2 2" xfId="24747"/>
    <cellStyle name="Normal 14 13 3 2 2 3" xfId="24748"/>
    <cellStyle name="Normal 14 13 3 2 2 4" xfId="24749"/>
    <cellStyle name="Normal 14 13 3 2 3" xfId="24750"/>
    <cellStyle name="Normal 14 13 3 2 4" xfId="24751"/>
    <cellStyle name="Normal 14 13 3 2 5" xfId="24752"/>
    <cellStyle name="Normal 14 13 3 3" xfId="1789"/>
    <cellStyle name="Normal 14 13 3 3 2" xfId="24753"/>
    <cellStyle name="Normal 14 13 3 3 2 2" xfId="24754"/>
    <cellStyle name="Normal 14 13 3 3 2 3" xfId="24755"/>
    <cellStyle name="Normal 14 13 3 3 2 4" xfId="24756"/>
    <cellStyle name="Normal 14 13 3 3 3" xfId="24757"/>
    <cellStyle name="Normal 14 13 3 3 4" xfId="24758"/>
    <cellStyle name="Normal 14 13 3 3 5" xfId="24759"/>
    <cellStyle name="Normal 14 13 3 4" xfId="24760"/>
    <cellStyle name="Normal 14 13 3 4 2" xfId="24761"/>
    <cellStyle name="Normal 14 13 3 4 3" xfId="24762"/>
    <cellStyle name="Normal 14 13 3 4 4" xfId="24763"/>
    <cellStyle name="Normal 14 13 3 5" xfId="24764"/>
    <cellStyle name="Normal 14 13 3 6" xfId="24765"/>
    <cellStyle name="Normal 14 13 3 7" xfId="24766"/>
    <cellStyle name="Normal 14 13 4" xfId="1790"/>
    <cellStyle name="Normal 14 13 4 2" xfId="24767"/>
    <cellStyle name="Normal 14 13 4 2 2" xfId="24768"/>
    <cellStyle name="Normal 14 13 4 2 3" xfId="24769"/>
    <cellStyle name="Normal 14 13 4 2 4" xfId="24770"/>
    <cellStyle name="Normal 14 13 4 3" xfId="24771"/>
    <cellStyle name="Normal 14 13 4 4" xfId="24772"/>
    <cellStyle name="Normal 14 13 4 5" xfId="24773"/>
    <cellStyle name="Normal 14 13 5" xfId="1791"/>
    <cellStyle name="Normal 14 13 5 2" xfId="24774"/>
    <cellStyle name="Normal 14 13 5 2 2" xfId="24775"/>
    <cellStyle name="Normal 14 13 5 2 3" xfId="24776"/>
    <cellStyle name="Normal 14 13 5 2 4" xfId="24777"/>
    <cellStyle name="Normal 14 13 5 3" xfId="24778"/>
    <cellStyle name="Normal 14 13 5 4" xfId="24779"/>
    <cellStyle name="Normal 14 13 5 5" xfId="24780"/>
    <cellStyle name="Normal 14 13 6" xfId="24781"/>
    <cellStyle name="Normal 14 13 6 2" xfId="24782"/>
    <cellStyle name="Normal 14 13 6 3" xfId="24783"/>
    <cellStyle name="Normal 14 13 6 4" xfId="24784"/>
    <cellStyle name="Normal 14 13 7" xfId="24785"/>
    <cellStyle name="Normal 14 13 8" xfId="24786"/>
    <cellStyle name="Normal 14 13 9" xfId="24787"/>
    <cellStyle name="Normal 14 14" xfId="1792"/>
    <cellStyle name="Normal 14 14 2" xfId="1793"/>
    <cellStyle name="Normal 14 14 2 2" xfId="1794"/>
    <cellStyle name="Normal 14 14 2 2 2" xfId="1795"/>
    <cellStyle name="Normal 14 14 2 2 2 2" xfId="24788"/>
    <cellStyle name="Normal 14 14 2 2 2 2 2" xfId="24789"/>
    <cellStyle name="Normal 14 14 2 2 2 2 3" xfId="24790"/>
    <cellStyle name="Normal 14 14 2 2 2 2 4" xfId="24791"/>
    <cellStyle name="Normal 14 14 2 2 2 3" xfId="24792"/>
    <cellStyle name="Normal 14 14 2 2 2 4" xfId="24793"/>
    <cellStyle name="Normal 14 14 2 2 2 5" xfId="24794"/>
    <cellStyle name="Normal 14 14 2 2 3" xfId="1796"/>
    <cellStyle name="Normal 14 14 2 2 3 2" xfId="24795"/>
    <cellStyle name="Normal 14 14 2 2 3 2 2" xfId="24796"/>
    <cellStyle name="Normal 14 14 2 2 3 2 3" xfId="24797"/>
    <cellStyle name="Normal 14 14 2 2 3 2 4" xfId="24798"/>
    <cellStyle name="Normal 14 14 2 2 3 3" xfId="24799"/>
    <cellStyle name="Normal 14 14 2 2 3 4" xfId="24800"/>
    <cellStyle name="Normal 14 14 2 2 3 5" xfId="24801"/>
    <cellStyle name="Normal 14 14 2 2 4" xfId="24802"/>
    <cellStyle name="Normal 14 14 2 2 4 2" xfId="24803"/>
    <cellStyle name="Normal 14 14 2 2 4 3" xfId="24804"/>
    <cellStyle name="Normal 14 14 2 2 4 4" xfId="24805"/>
    <cellStyle name="Normal 14 14 2 2 5" xfId="24806"/>
    <cellStyle name="Normal 14 14 2 2 6" xfId="24807"/>
    <cellStyle name="Normal 14 14 2 2 7" xfId="24808"/>
    <cellStyle name="Normal 14 14 2 3" xfId="1797"/>
    <cellStyle name="Normal 14 14 2 3 2" xfId="24809"/>
    <cellStyle name="Normal 14 14 2 3 2 2" xfId="24810"/>
    <cellStyle name="Normal 14 14 2 3 2 3" xfId="24811"/>
    <cellStyle name="Normal 14 14 2 3 2 4" xfId="24812"/>
    <cellStyle name="Normal 14 14 2 3 3" xfId="24813"/>
    <cellStyle name="Normal 14 14 2 3 4" xfId="24814"/>
    <cellStyle name="Normal 14 14 2 3 5" xfId="24815"/>
    <cellStyle name="Normal 14 14 2 4" xfId="1798"/>
    <cellStyle name="Normal 14 14 2 4 2" xfId="24816"/>
    <cellStyle name="Normal 14 14 2 4 2 2" xfId="24817"/>
    <cellStyle name="Normal 14 14 2 4 2 3" xfId="24818"/>
    <cellStyle name="Normal 14 14 2 4 2 4" xfId="24819"/>
    <cellStyle name="Normal 14 14 2 4 3" xfId="24820"/>
    <cellStyle name="Normal 14 14 2 4 4" xfId="24821"/>
    <cellStyle name="Normal 14 14 2 4 5" xfId="24822"/>
    <cellStyle name="Normal 14 14 2 5" xfId="24823"/>
    <cellStyle name="Normal 14 14 2 5 2" xfId="24824"/>
    <cellStyle name="Normal 14 14 2 5 3" xfId="24825"/>
    <cellStyle name="Normal 14 14 2 5 4" xfId="24826"/>
    <cellStyle name="Normal 14 14 2 6" xfId="24827"/>
    <cellStyle name="Normal 14 14 2 7" xfId="24828"/>
    <cellStyle name="Normal 14 14 2 8" xfId="24829"/>
    <cellStyle name="Normal 14 14 3" xfId="1799"/>
    <cellStyle name="Normal 14 14 3 2" xfId="1800"/>
    <cellStyle name="Normal 14 14 3 2 2" xfId="24830"/>
    <cellStyle name="Normal 14 14 3 2 2 2" xfId="24831"/>
    <cellStyle name="Normal 14 14 3 2 2 3" xfId="24832"/>
    <cellStyle name="Normal 14 14 3 2 2 4" xfId="24833"/>
    <cellStyle name="Normal 14 14 3 2 3" xfId="24834"/>
    <cellStyle name="Normal 14 14 3 2 4" xfId="24835"/>
    <cellStyle name="Normal 14 14 3 2 5" xfId="24836"/>
    <cellStyle name="Normal 14 14 3 3" xfId="1801"/>
    <cellStyle name="Normal 14 14 3 3 2" xfId="24837"/>
    <cellStyle name="Normal 14 14 3 3 2 2" xfId="24838"/>
    <cellStyle name="Normal 14 14 3 3 2 3" xfId="24839"/>
    <cellStyle name="Normal 14 14 3 3 2 4" xfId="24840"/>
    <cellStyle name="Normal 14 14 3 3 3" xfId="24841"/>
    <cellStyle name="Normal 14 14 3 3 4" xfId="24842"/>
    <cellStyle name="Normal 14 14 3 3 5" xfId="24843"/>
    <cellStyle name="Normal 14 14 3 4" xfId="24844"/>
    <cellStyle name="Normal 14 14 3 4 2" xfId="24845"/>
    <cellStyle name="Normal 14 14 3 4 3" xfId="24846"/>
    <cellStyle name="Normal 14 14 3 4 4" xfId="24847"/>
    <cellStyle name="Normal 14 14 3 5" xfId="24848"/>
    <cellStyle name="Normal 14 14 3 6" xfId="24849"/>
    <cellStyle name="Normal 14 14 3 7" xfId="24850"/>
    <cellStyle name="Normal 14 14 4" xfId="1802"/>
    <cellStyle name="Normal 14 14 4 2" xfId="24851"/>
    <cellStyle name="Normal 14 14 4 2 2" xfId="24852"/>
    <cellStyle name="Normal 14 14 4 2 3" xfId="24853"/>
    <cellStyle name="Normal 14 14 4 2 4" xfId="24854"/>
    <cellStyle name="Normal 14 14 4 3" xfId="24855"/>
    <cellStyle name="Normal 14 14 4 4" xfId="24856"/>
    <cellStyle name="Normal 14 14 4 5" xfId="24857"/>
    <cellStyle name="Normal 14 14 5" xfId="1803"/>
    <cellStyle name="Normal 14 14 5 2" xfId="24858"/>
    <cellStyle name="Normal 14 14 5 2 2" xfId="24859"/>
    <cellStyle name="Normal 14 14 5 2 3" xfId="24860"/>
    <cellStyle name="Normal 14 14 5 2 4" xfId="24861"/>
    <cellStyle name="Normal 14 14 5 3" xfId="24862"/>
    <cellStyle name="Normal 14 14 5 4" xfId="24863"/>
    <cellStyle name="Normal 14 14 5 5" xfId="24864"/>
    <cellStyle name="Normal 14 14 6" xfId="24865"/>
    <cellStyle name="Normal 14 14 6 2" xfId="24866"/>
    <cellStyle name="Normal 14 14 6 3" xfId="24867"/>
    <cellStyle name="Normal 14 14 6 4" xfId="24868"/>
    <cellStyle name="Normal 14 14 7" xfId="24869"/>
    <cellStyle name="Normal 14 14 8" xfId="24870"/>
    <cellStyle name="Normal 14 14 9" xfId="24871"/>
    <cellStyle name="Normal 14 15" xfId="1804"/>
    <cellStyle name="Normal 14 15 2" xfId="1805"/>
    <cellStyle name="Normal 14 15 2 2" xfId="1806"/>
    <cellStyle name="Normal 14 15 2 2 2" xfId="1807"/>
    <cellStyle name="Normal 14 15 2 2 2 2" xfId="24872"/>
    <cellStyle name="Normal 14 15 2 2 2 2 2" xfId="24873"/>
    <cellStyle name="Normal 14 15 2 2 2 2 3" xfId="24874"/>
    <cellStyle name="Normal 14 15 2 2 2 2 4" xfId="24875"/>
    <cellStyle name="Normal 14 15 2 2 2 3" xfId="24876"/>
    <cellStyle name="Normal 14 15 2 2 2 4" xfId="24877"/>
    <cellStyle name="Normal 14 15 2 2 2 5" xfId="24878"/>
    <cellStyle name="Normal 14 15 2 2 3" xfId="1808"/>
    <cellStyle name="Normal 14 15 2 2 3 2" xfId="24879"/>
    <cellStyle name="Normal 14 15 2 2 3 2 2" xfId="24880"/>
    <cellStyle name="Normal 14 15 2 2 3 2 3" xfId="24881"/>
    <cellStyle name="Normal 14 15 2 2 3 2 4" xfId="24882"/>
    <cellStyle name="Normal 14 15 2 2 3 3" xfId="24883"/>
    <cellStyle name="Normal 14 15 2 2 3 4" xfId="24884"/>
    <cellStyle name="Normal 14 15 2 2 3 5" xfId="24885"/>
    <cellStyle name="Normal 14 15 2 2 4" xfId="24886"/>
    <cellStyle name="Normal 14 15 2 2 4 2" xfId="24887"/>
    <cellStyle name="Normal 14 15 2 2 4 3" xfId="24888"/>
    <cellStyle name="Normal 14 15 2 2 4 4" xfId="24889"/>
    <cellStyle name="Normal 14 15 2 2 5" xfId="24890"/>
    <cellStyle name="Normal 14 15 2 2 6" xfId="24891"/>
    <cellStyle name="Normal 14 15 2 2 7" xfId="24892"/>
    <cellStyle name="Normal 14 15 2 3" xfId="1809"/>
    <cellStyle name="Normal 14 15 2 3 2" xfId="24893"/>
    <cellStyle name="Normal 14 15 2 3 2 2" xfId="24894"/>
    <cellStyle name="Normal 14 15 2 3 2 3" xfId="24895"/>
    <cellStyle name="Normal 14 15 2 3 2 4" xfId="24896"/>
    <cellStyle name="Normal 14 15 2 3 3" xfId="24897"/>
    <cellStyle name="Normal 14 15 2 3 4" xfId="24898"/>
    <cellStyle name="Normal 14 15 2 3 5" xfId="24899"/>
    <cellStyle name="Normal 14 15 2 4" xfId="1810"/>
    <cellStyle name="Normal 14 15 2 4 2" xfId="24900"/>
    <cellStyle name="Normal 14 15 2 4 2 2" xfId="24901"/>
    <cellStyle name="Normal 14 15 2 4 2 3" xfId="24902"/>
    <cellStyle name="Normal 14 15 2 4 2 4" xfId="24903"/>
    <cellStyle name="Normal 14 15 2 4 3" xfId="24904"/>
    <cellStyle name="Normal 14 15 2 4 4" xfId="24905"/>
    <cellStyle name="Normal 14 15 2 4 5" xfId="24906"/>
    <cellStyle name="Normal 14 15 2 5" xfId="24907"/>
    <cellStyle name="Normal 14 15 2 5 2" xfId="24908"/>
    <cellStyle name="Normal 14 15 2 5 3" xfId="24909"/>
    <cellStyle name="Normal 14 15 2 5 4" xfId="24910"/>
    <cellStyle name="Normal 14 15 2 6" xfId="24911"/>
    <cellStyle name="Normal 14 15 2 7" xfId="24912"/>
    <cellStyle name="Normal 14 15 2 8" xfId="24913"/>
    <cellStyle name="Normal 14 15 3" xfId="1811"/>
    <cellStyle name="Normal 14 15 3 2" xfId="1812"/>
    <cellStyle name="Normal 14 15 3 2 2" xfId="24914"/>
    <cellStyle name="Normal 14 15 3 2 2 2" xfId="24915"/>
    <cellStyle name="Normal 14 15 3 2 2 3" xfId="24916"/>
    <cellStyle name="Normal 14 15 3 2 2 4" xfId="24917"/>
    <cellStyle name="Normal 14 15 3 2 3" xfId="24918"/>
    <cellStyle name="Normal 14 15 3 2 4" xfId="24919"/>
    <cellStyle name="Normal 14 15 3 2 5" xfId="24920"/>
    <cellStyle name="Normal 14 15 3 3" xfId="1813"/>
    <cellStyle name="Normal 14 15 3 3 2" xfId="24921"/>
    <cellStyle name="Normal 14 15 3 3 2 2" xfId="24922"/>
    <cellStyle name="Normal 14 15 3 3 2 3" xfId="24923"/>
    <cellStyle name="Normal 14 15 3 3 2 4" xfId="24924"/>
    <cellStyle name="Normal 14 15 3 3 3" xfId="24925"/>
    <cellStyle name="Normal 14 15 3 3 4" xfId="24926"/>
    <cellStyle name="Normal 14 15 3 3 5" xfId="24927"/>
    <cellStyle name="Normal 14 15 3 4" xfId="24928"/>
    <cellStyle name="Normal 14 15 3 4 2" xfId="24929"/>
    <cellStyle name="Normal 14 15 3 4 3" xfId="24930"/>
    <cellStyle name="Normal 14 15 3 4 4" xfId="24931"/>
    <cellStyle name="Normal 14 15 3 5" xfId="24932"/>
    <cellStyle name="Normal 14 15 3 6" xfId="24933"/>
    <cellStyle name="Normal 14 15 3 7" xfId="24934"/>
    <cellStyle name="Normal 14 15 4" xfId="1814"/>
    <cellStyle name="Normal 14 15 4 2" xfId="24935"/>
    <cellStyle name="Normal 14 15 4 2 2" xfId="24936"/>
    <cellStyle name="Normal 14 15 4 2 3" xfId="24937"/>
    <cellStyle name="Normal 14 15 4 2 4" xfId="24938"/>
    <cellStyle name="Normal 14 15 4 3" xfId="24939"/>
    <cellStyle name="Normal 14 15 4 4" xfId="24940"/>
    <cellStyle name="Normal 14 15 4 5" xfId="24941"/>
    <cellStyle name="Normal 14 15 5" xfId="1815"/>
    <cellStyle name="Normal 14 15 5 2" xfId="24942"/>
    <cellStyle name="Normal 14 15 5 2 2" xfId="24943"/>
    <cellStyle name="Normal 14 15 5 2 3" xfId="24944"/>
    <cellStyle name="Normal 14 15 5 2 4" xfId="24945"/>
    <cellStyle name="Normal 14 15 5 3" xfId="24946"/>
    <cellStyle name="Normal 14 15 5 4" xfId="24947"/>
    <cellStyle name="Normal 14 15 5 5" xfId="24948"/>
    <cellStyle name="Normal 14 15 6" xfId="24949"/>
    <cellStyle name="Normal 14 15 6 2" xfId="24950"/>
    <cellStyle name="Normal 14 15 6 3" xfId="24951"/>
    <cellStyle name="Normal 14 15 6 4" xfId="24952"/>
    <cellStyle name="Normal 14 15 7" xfId="24953"/>
    <cellStyle name="Normal 14 15 8" xfId="24954"/>
    <cellStyle name="Normal 14 15 9" xfId="24955"/>
    <cellStyle name="Normal 14 16" xfId="1816"/>
    <cellStyle name="Normal 14 16 2" xfId="1817"/>
    <cellStyle name="Normal 14 16 2 2" xfId="1818"/>
    <cellStyle name="Normal 14 16 2 2 2" xfId="1819"/>
    <cellStyle name="Normal 14 16 2 2 2 2" xfId="24956"/>
    <cellStyle name="Normal 14 16 2 2 2 2 2" xfId="24957"/>
    <cellStyle name="Normal 14 16 2 2 2 2 3" xfId="24958"/>
    <cellStyle name="Normal 14 16 2 2 2 2 4" xfId="24959"/>
    <cellStyle name="Normal 14 16 2 2 2 3" xfId="24960"/>
    <cellStyle name="Normal 14 16 2 2 2 4" xfId="24961"/>
    <cellStyle name="Normal 14 16 2 2 2 5" xfId="24962"/>
    <cellStyle name="Normal 14 16 2 2 3" xfId="1820"/>
    <cellStyle name="Normal 14 16 2 2 3 2" xfId="24963"/>
    <cellStyle name="Normal 14 16 2 2 3 2 2" xfId="24964"/>
    <cellStyle name="Normal 14 16 2 2 3 2 3" xfId="24965"/>
    <cellStyle name="Normal 14 16 2 2 3 2 4" xfId="24966"/>
    <cellStyle name="Normal 14 16 2 2 3 3" xfId="24967"/>
    <cellStyle name="Normal 14 16 2 2 3 4" xfId="24968"/>
    <cellStyle name="Normal 14 16 2 2 3 5" xfId="24969"/>
    <cellStyle name="Normal 14 16 2 2 4" xfId="24970"/>
    <cellStyle name="Normal 14 16 2 2 4 2" xfId="24971"/>
    <cellStyle name="Normal 14 16 2 2 4 3" xfId="24972"/>
    <cellStyle name="Normal 14 16 2 2 4 4" xfId="24973"/>
    <cellStyle name="Normal 14 16 2 2 5" xfId="24974"/>
    <cellStyle name="Normal 14 16 2 2 6" xfId="24975"/>
    <cellStyle name="Normal 14 16 2 2 7" xfId="24976"/>
    <cellStyle name="Normal 14 16 2 3" xfId="1821"/>
    <cellStyle name="Normal 14 16 2 3 2" xfId="24977"/>
    <cellStyle name="Normal 14 16 2 3 2 2" xfId="24978"/>
    <cellStyle name="Normal 14 16 2 3 2 3" xfId="24979"/>
    <cellStyle name="Normal 14 16 2 3 2 4" xfId="24980"/>
    <cellStyle name="Normal 14 16 2 3 3" xfId="24981"/>
    <cellStyle name="Normal 14 16 2 3 4" xfId="24982"/>
    <cellStyle name="Normal 14 16 2 3 5" xfId="24983"/>
    <cellStyle name="Normal 14 16 2 4" xfId="1822"/>
    <cellStyle name="Normal 14 16 2 4 2" xfId="24984"/>
    <cellStyle name="Normal 14 16 2 4 2 2" xfId="24985"/>
    <cellStyle name="Normal 14 16 2 4 2 3" xfId="24986"/>
    <cellStyle name="Normal 14 16 2 4 2 4" xfId="24987"/>
    <cellStyle name="Normal 14 16 2 4 3" xfId="24988"/>
    <cellStyle name="Normal 14 16 2 4 4" xfId="24989"/>
    <cellStyle name="Normal 14 16 2 4 5" xfId="24990"/>
    <cellStyle name="Normal 14 16 2 5" xfId="24991"/>
    <cellStyle name="Normal 14 16 2 5 2" xfId="24992"/>
    <cellStyle name="Normal 14 16 2 5 3" xfId="24993"/>
    <cellStyle name="Normal 14 16 2 5 4" xfId="24994"/>
    <cellStyle name="Normal 14 16 2 6" xfId="24995"/>
    <cellStyle name="Normal 14 16 2 7" xfId="24996"/>
    <cellStyle name="Normal 14 16 2 8" xfId="24997"/>
    <cellStyle name="Normal 14 16 3" xfId="1823"/>
    <cellStyle name="Normal 14 16 3 2" xfId="1824"/>
    <cellStyle name="Normal 14 16 3 2 2" xfId="24998"/>
    <cellStyle name="Normal 14 16 3 2 2 2" xfId="24999"/>
    <cellStyle name="Normal 14 16 3 2 2 3" xfId="25000"/>
    <cellStyle name="Normal 14 16 3 2 2 4" xfId="25001"/>
    <cellStyle name="Normal 14 16 3 2 3" xfId="25002"/>
    <cellStyle name="Normal 14 16 3 2 4" xfId="25003"/>
    <cellStyle name="Normal 14 16 3 2 5" xfId="25004"/>
    <cellStyle name="Normal 14 16 3 3" xfId="1825"/>
    <cellStyle name="Normal 14 16 3 3 2" xfId="25005"/>
    <cellStyle name="Normal 14 16 3 3 2 2" xfId="25006"/>
    <cellStyle name="Normal 14 16 3 3 2 3" xfId="25007"/>
    <cellStyle name="Normal 14 16 3 3 2 4" xfId="25008"/>
    <cellStyle name="Normal 14 16 3 3 3" xfId="25009"/>
    <cellStyle name="Normal 14 16 3 3 4" xfId="25010"/>
    <cellStyle name="Normal 14 16 3 3 5" xfId="25011"/>
    <cellStyle name="Normal 14 16 3 4" xfId="25012"/>
    <cellStyle name="Normal 14 16 3 4 2" xfId="25013"/>
    <cellStyle name="Normal 14 16 3 4 3" xfId="25014"/>
    <cellStyle name="Normal 14 16 3 4 4" xfId="25015"/>
    <cellStyle name="Normal 14 16 3 5" xfId="25016"/>
    <cellStyle name="Normal 14 16 3 6" xfId="25017"/>
    <cellStyle name="Normal 14 16 3 7" xfId="25018"/>
    <cellStyle name="Normal 14 16 4" xfId="1826"/>
    <cellStyle name="Normal 14 16 4 2" xfId="25019"/>
    <cellStyle name="Normal 14 16 4 2 2" xfId="25020"/>
    <cellStyle name="Normal 14 16 4 2 3" xfId="25021"/>
    <cellStyle name="Normal 14 16 4 2 4" xfId="25022"/>
    <cellStyle name="Normal 14 16 4 3" xfId="25023"/>
    <cellStyle name="Normal 14 16 4 4" xfId="25024"/>
    <cellStyle name="Normal 14 16 4 5" xfId="25025"/>
    <cellStyle name="Normal 14 16 5" xfId="1827"/>
    <cellStyle name="Normal 14 16 5 2" xfId="25026"/>
    <cellStyle name="Normal 14 16 5 2 2" xfId="25027"/>
    <cellStyle name="Normal 14 16 5 2 3" xfId="25028"/>
    <cellStyle name="Normal 14 16 5 2 4" xfId="25029"/>
    <cellStyle name="Normal 14 16 5 3" xfId="25030"/>
    <cellStyle name="Normal 14 16 5 4" xfId="25031"/>
    <cellStyle name="Normal 14 16 5 5" xfId="25032"/>
    <cellStyle name="Normal 14 16 6" xfId="25033"/>
    <cellStyle name="Normal 14 16 6 2" xfId="25034"/>
    <cellStyle name="Normal 14 16 6 3" xfId="25035"/>
    <cellStyle name="Normal 14 16 6 4" xfId="25036"/>
    <cellStyle name="Normal 14 16 7" xfId="25037"/>
    <cellStyle name="Normal 14 16 8" xfId="25038"/>
    <cellStyle name="Normal 14 16 9" xfId="25039"/>
    <cellStyle name="Normal 14 17" xfId="1828"/>
    <cellStyle name="Normal 14 17 2" xfId="1829"/>
    <cellStyle name="Normal 14 17 2 2" xfId="1830"/>
    <cellStyle name="Normal 14 17 2 2 2" xfId="1831"/>
    <cellStyle name="Normal 14 17 2 2 2 2" xfId="25040"/>
    <cellStyle name="Normal 14 17 2 2 2 2 2" xfId="25041"/>
    <cellStyle name="Normal 14 17 2 2 2 2 3" xfId="25042"/>
    <cellStyle name="Normal 14 17 2 2 2 2 4" xfId="25043"/>
    <cellStyle name="Normal 14 17 2 2 2 3" xfId="25044"/>
    <cellStyle name="Normal 14 17 2 2 2 4" xfId="25045"/>
    <cellStyle name="Normal 14 17 2 2 2 5" xfId="25046"/>
    <cellStyle name="Normal 14 17 2 2 3" xfId="1832"/>
    <cellStyle name="Normal 14 17 2 2 3 2" xfId="25047"/>
    <cellStyle name="Normal 14 17 2 2 3 2 2" xfId="25048"/>
    <cellStyle name="Normal 14 17 2 2 3 2 3" xfId="25049"/>
    <cellStyle name="Normal 14 17 2 2 3 2 4" xfId="25050"/>
    <cellStyle name="Normal 14 17 2 2 3 3" xfId="25051"/>
    <cellStyle name="Normal 14 17 2 2 3 4" xfId="25052"/>
    <cellStyle name="Normal 14 17 2 2 3 5" xfId="25053"/>
    <cellStyle name="Normal 14 17 2 2 4" xfId="25054"/>
    <cellStyle name="Normal 14 17 2 2 4 2" xfId="25055"/>
    <cellStyle name="Normal 14 17 2 2 4 3" xfId="25056"/>
    <cellStyle name="Normal 14 17 2 2 4 4" xfId="25057"/>
    <cellStyle name="Normal 14 17 2 2 5" xfId="25058"/>
    <cellStyle name="Normal 14 17 2 2 6" xfId="25059"/>
    <cellStyle name="Normal 14 17 2 2 7" xfId="25060"/>
    <cellStyle name="Normal 14 17 2 3" xfId="1833"/>
    <cellStyle name="Normal 14 17 2 3 2" xfId="25061"/>
    <cellStyle name="Normal 14 17 2 3 2 2" xfId="25062"/>
    <cellStyle name="Normal 14 17 2 3 2 3" xfId="25063"/>
    <cellStyle name="Normal 14 17 2 3 2 4" xfId="25064"/>
    <cellStyle name="Normal 14 17 2 3 3" xfId="25065"/>
    <cellStyle name="Normal 14 17 2 3 4" xfId="25066"/>
    <cellStyle name="Normal 14 17 2 3 5" xfId="25067"/>
    <cellStyle name="Normal 14 17 2 4" xfId="1834"/>
    <cellStyle name="Normal 14 17 2 4 2" xfId="25068"/>
    <cellStyle name="Normal 14 17 2 4 2 2" xfId="25069"/>
    <cellStyle name="Normal 14 17 2 4 2 3" xfId="25070"/>
    <cellStyle name="Normal 14 17 2 4 2 4" xfId="25071"/>
    <cellStyle name="Normal 14 17 2 4 3" xfId="25072"/>
    <cellStyle name="Normal 14 17 2 4 4" xfId="25073"/>
    <cellStyle name="Normal 14 17 2 4 5" xfId="25074"/>
    <cellStyle name="Normal 14 17 2 5" xfId="25075"/>
    <cellStyle name="Normal 14 17 2 5 2" xfId="25076"/>
    <cellStyle name="Normal 14 17 2 5 3" xfId="25077"/>
    <cellStyle name="Normal 14 17 2 5 4" xfId="25078"/>
    <cellStyle name="Normal 14 17 2 6" xfId="25079"/>
    <cellStyle name="Normal 14 17 2 7" xfId="25080"/>
    <cellStyle name="Normal 14 17 2 8" xfId="25081"/>
    <cellStyle name="Normal 14 17 3" xfId="1835"/>
    <cellStyle name="Normal 14 17 3 2" xfId="1836"/>
    <cellStyle name="Normal 14 17 3 2 2" xfId="25082"/>
    <cellStyle name="Normal 14 17 3 2 2 2" xfId="25083"/>
    <cellStyle name="Normal 14 17 3 2 2 3" xfId="25084"/>
    <cellStyle name="Normal 14 17 3 2 2 4" xfId="25085"/>
    <cellStyle name="Normal 14 17 3 2 3" xfId="25086"/>
    <cellStyle name="Normal 14 17 3 2 4" xfId="25087"/>
    <cellStyle name="Normal 14 17 3 2 5" xfId="25088"/>
    <cellStyle name="Normal 14 17 3 3" xfId="1837"/>
    <cellStyle name="Normal 14 17 3 3 2" xfId="25089"/>
    <cellStyle name="Normal 14 17 3 3 2 2" xfId="25090"/>
    <cellStyle name="Normal 14 17 3 3 2 3" xfId="25091"/>
    <cellStyle name="Normal 14 17 3 3 2 4" xfId="25092"/>
    <cellStyle name="Normal 14 17 3 3 3" xfId="25093"/>
    <cellStyle name="Normal 14 17 3 3 4" xfId="25094"/>
    <cellStyle name="Normal 14 17 3 3 5" xfId="25095"/>
    <cellStyle name="Normal 14 17 3 4" xfId="25096"/>
    <cellStyle name="Normal 14 17 3 4 2" xfId="25097"/>
    <cellStyle name="Normal 14 17 3 4 3" xfId="25098"/>
    <cellStyle name="Normal 14 17 3 4 4" xfId="25099"/>
    <cellStyle name="Normal 14 17 3 5" xfId="25100"/>
    <cellStyle name="Normal 14 17 3 6" xfId="25101"/>
    <cellStyle name="Normal 14 17 3 7" xfId="25102"/>
    <cellStyle name="Normal 14 17 4" xfId="1838"/>
    <cellStyle name="Normal 14 17 4 2" xfId="25103"/>
    <cellStyle name="Normal 14 17 4 2 2" xfId="25104"/>
    <cellStyle name="Normal 14 17 4 2 3" xfId="25105"/>
    <cellStyle name="Normal 14 17 4 2 4" xfId="25106"/>
    <cellStyle name="Normal 14 17 4 3" xfId="25107"/>
    <cellStyle name="Normal 14 17 4 4" xfId="25108"/>
    <cellStyle name="Normal 14 17 4 5" xfId="25109"/>
    <cellStyle name="Normal 14 17 5" xfId="1839"/>
    <cellStyle name="Normal 14 17 5 2" xfId="25110"/>
    <cellStyle name="Normal 14 17 5 2 2" xfId="25111"/>
    <cellStyle name="Normal 14 17 5 2 3" xfId="25112"/>
    <cellStyle name="Normal 14 17 5 2 4" xfId="25113"/>
    <cellStyle name="Normal 14 17 5 3" xfId="25114"/>
    <cellStyle name="Normal 14 17 5 4" xfId="25115"/>
    <cellStyle name="Normal 14 17 5 5" xfId="25116"/>
    <cellStyle name="Normal 14 17 6" xfId="25117"/>
    <cellStyle name="Normal 14 17 6 2" xfId="25118"/>
    <cellStyle name="Normal 14 17 6 3" xfId="25119"/>
    <cellStyle name="Normal 14 17 6 4" xfId="25120"/>
    <cellStyle name="Normal 14 17 7" xfId="25121"/>
    <cellStyle name="Normal 14 17 8" xfId="25122"/>
    <cellStyle name="Normal 14 17 9" xfId="25123"/>
    <cellStyle name="Normal 14 18" xfId="1840"/>
    <cellStyle name="Normal 14 18 2" xfId="1841"/>
    <cellStyle name="Normal 14 18 2 2" xfId="1842"/>
    <cellStyle name="Normal 14 18 2 2 2" xfId="1843"/>
    <cellStyle name="Normal 14 18 2 2 2 2" xfId="25124"/>
    <cellStyle name="Normal 14 18 2 2 2 2 2" xfId="25125"/>
    <cellStyle name="Normal 14 18 2 2 2 2 3" xfId="25126"/>
    <cellStyle name="Normal 14 18 2 2 2 2 4" xfId="25127"/>
    <cellStyle name="Normal 14 18 2 2 2 3" xfId="25128"/>
    <cellStyle name="Normal 14 18 2 2 2 4" xfId="25129"/>
    <cellStyle name="Normal 14 18 2 2 2 5" xfId="25130"/>
    <cellStyle name="Normal 14 18 2 2 3" xfId="1844"/>
    <cellStyle name="Normal 14 18 2 2 3 2" xfId="25131"/>
    <cellStyle name="Normal 14 18 2 2 3 2 2" xfId="25132"/>
    <cellStyle name="Normal 14 18 2 2 3 2 3" xfId="25133"/>
    <cellStyle name="Normal 14 18 2 2 3 2 4" xfId="25134"/>
    <cellStyle name="Normal 14 18 2 2 3 3" xfId="25135"/>
    <cellStyle name="Normal 14 18 2 2 3 4" xfId="25136"/>
    <cellStyle name="Normal 14 18 2 2 3 5" xfId="25137"/>
    <cellStyle name="Normal 14 18 2 2 4" xfId="25138"/>
    <cellStyle name="Normal 14 18 2 2 4 2" xfId="25139"/>
    <cellStyle name="Normal 14 18 2 2 4 3" xfId="25140"/>
    <cellStyle name="Normal 14 18 2 2 4 4" xfId="25141"/>
    <cellStyle name="Normal 14 18 2 2 5" xfId="25142"/>
    <cellStyle name="Normal 14 18 2 2 6" xfId="25143"/>
    <cellStyle name="Normal 14 18 2 2 7" xfId="25144"/>
    <cellStyle name="Normal 14 18 2 3" xfId="1845"/>
    <cellStyle name="Normal 14 18 2 3 2" xfId="25145"/>
    <cellStyle name="Normal 14 18 2 3 2 2" xfId="25146"/>
    <cellStyle name="Normal 14 18 2 3 2 3" xfId="25147"/>
    <cellStyle name="Normal 14 18 2 3 2 4" xfId="25148"/>
    <cellStyle name="Normal 14 18 2 3 3" xfId="25149"/>
    <cellStyle name="Normal 14 18 2 3 4" xfId="25150"/>
    <cellStyle name="Normal 14 18 2 3 5" xfId="25151"/>
    <cellStyle name="Normal 14 18 2 4" xfId="1846"/>
    <cellStyle name="Normal 14 18 2 4 2" xfId="25152"/>
    <cellStyle name="Normal 14 18 2 4 2 2" xfId="25153"/>
    <cellStyle name="Normal 14 18 2 4 2 3" xfId="25154"/>
    <cellStyle name="Normal 14 18 2 4 2 4" xfId="25155"/>
    <cellStyle name="Normal 14 18 2 4 3" xfId="25156"/>
    <cellStyle name="Normal 14 18 2 4 4" xfId="25157"/>
    <cellStyle name="Normal 14 18 2 4 5" xfId="25158"/>
    <cellStyle name="Normal 14 18 2 5" xfId="25159"/>
    <cellStyle name="Normal 14 18 2 5 2" xfId="25160"/>
    <cellStyle name="Normal 14 18 2 5 3" xfId="25161"/>
    <cellStyle name="Normal 14 18 2 5 4" xfId="25162"/>
    <cellStyle name="Normal 14 18 2 6" xfId="25163"/>
    <cellStyle name="Normal 14 18 2 7" xfId="25164"/>
    <cellStyle name="Normal 14 18 2 8" xfId="25165"/>
    <cellStyle name="Normal 14 18 3" xfId="1847"/>
    <cellStyle name="Normal 14 18 3 2" xfId="1848"/>
    <cellStyle name="Normal 14 18 3 2 2" xfId="25166"/>
    <cellStyle name="Normal 14 18 3 2 2 2" xfId="25167"/>
    <cellStyle name="Normal 14 18 3 2 2 3" xfId="25168"/>
    <cellStyle name="Normal 14 18 3 2 2 4" xfId="25169"/>
    <cellStyle name="Normal 14 18 3 2 3" xfId="25170"/>
    <cellStyle name="Normal 14 18 3 2 4" xfId="25171"/>
    <cellStyle name="Normal 14 18 3 2 5" xfId="25172"/>
    <cellStyle name="Normal 14 18 3 3" xfId="1849"/>
    <cellStyle name="Normal 14 18 3 3 2" xfId="25173"/>
    <cellStyle name="Normal 14 18 3 3 2 2" xfId="25174"/>
    <cellStyle name="Normal 14 18 3 3 2 3" xfId="25175"/>
    <cellStyle name="Normal 14 18 3 3 2 4" xfId="25176"/>
    <cellStyle name="Normal 14 18 3 3 3" xfId="25177"/>
    <cellStyle name="Normal 14 18 3 3 4" xfId="25178"/>
    <cellStyle name="Normal 14 18 3 3 5" xfId="25179"/>
    <cellStyle name="Normal 14 18 3 4" xfId="25180"/>
    <cellStyle name="Normal 14 18 3 4 2" xfId="25181"/>
    <cellStyle name="Normal 14 18 3 4 3" xfId="25182"/>
    <cellStyle name="Normal 14 18 3 4 4" xfId="25183"/>
    <cellStyle name="Normal 14 18 3 5" xfId="25184"/>
    <cellStyle name="Normal 14 18 3 6" xfId="25185"/>
    <cellStyle name="Normal 14 18 3 7" xfId="25186"/>
    <cellStyle name="Normal 14 18 4" xfId="1850"/>
    <cellStyle name="Normal 14 18 4 2" xfId="25187"/>
    <cellStyle name="Normal 14 18 4 2 2" xfId="25188"/>
    <cellStyle name="Normal 14 18 4 2 3" xfId="25189"/>
    <cellStyle name="Normal 14 18 4 2 4" xfId="25190"/>
    <cellStyle name="Normal 14 18 4 3" xfId="25191"/>
    <cellStyle name="Normal 14 18 4 4" xfId="25192"/>
    <cellStyle name="Normal 14 18 4 5" xfId="25193"/>
    <cellStyle name="Normal 14 18 5" xfId="1851"/>
    <cellStyle name="Normal 14 18 5 2" xfId="25194"/>
    <cellStyle name="Normal 14 18 5 2 2" xfId="25195"/>
    <cellStyle name="Normal 14 18 5 2 3" xfId="25196"/>
    <cellStyle name="Normal 14 18 5 2 4" xfId="25197"/>
    <cellStyle name="Normal 14 18 5 3" xfId="25198"/>
    <cellStyle name="Normal 14 18 5 4" xfId="25199"/>
    <cellStyle name="Normal 14 18 5 5" xfId="25200"/>
    <cellStyle name="Normal 14 18 6" xfId="25201"/>
    <cellStyle name="Normal 14 18 6 2" xfId="25202"/>
    <cellStyle name="Normal 14 18 6 3" xfId="25203"/>
    <cellStyle name="Normal 14 18 6 4" xfId="25204"/>
    <cellStyle name="Normal 14 18 7" xfId="25205"/>
    <cellStyle name="Normal 14 18 8" xfId="25206"/>
    <cellStyle name="Normal 14 18 9" xfId="25207"/>
    <cellStyle name="Normal 14 19" xfId="1852"/>
    <cellStyle name="Normal 14 19 2" xfId="1853"/>
    <cellStyle name="Normal 14 19 2 2" xfId="1854"/>
    <cellStyle name="Normal 14 19 2 2 2" xfId="1855"/>
    <cellStyle name="Normal 14 19 2 2 2 2" xfId="25208"/>
    <cellStyle name="Normal 14 19 2 2 2 2 2" xfId="25209"/>
    <cellStyle name="Normal 14 19 2 2 2 2 3" xfId="25210"/>
    <cellStyle name="Normal 14 19 2 2 2 2 4" xfId="25211"/>
    <cellStyle name="Normal 14 19 2 2 2 3" xfId="25212"/>
    <cellStyle name="Normal 14 19 2 2 2 4" xfId="25213"/>
    <cellStyle name="Normal 14 19 2 2 2 5" xfId="25214"/>
    <cellStyle name="Normal 14 19 2 2 3" xfId="1856"/>
    <cellStyle name="Normal 14 19 2 2 3 2" xfId="25215"/>
    <cellStyle name="Normal 14 19 2 2 3 2 2" xfId="25216"/>
    <cellStyle name="Normal 14 19 2 2 3 2 3" xfId="25217"/>
    <cellStyle name="Normal 14 19 2 2 3 2 4" xfId="25218"/>
    <cellStyle name="Normal 14 19 2 2 3 3" xfId="25219"/>
    <cellStyle name="Normal 14 19 2 2 3 4" xfId="25220"/>
    <cellStyle name="Normal 14 19 2 2 3 5" xfId="25221"/>
    <cellStyle name="Normal 14 19 2 2 4" xfId="25222"/>
    <cellStyle name="Normal 14 19 2 2 4 2" xfId="25223"/>
    <cellStyle name="Normal 14 19 2 2 4 3" xfId="25224"/>
    <cellStyle name="Normal 14 19 2 2 4 4" xfId="25225"/>
    <cellStyle name="Normal 14 19 2 2 5" xfId="25226"/>
    <cellStyle name="Normal 14 19 2 2 6" xfId="25227"/>
    <cellStyle name="Normal 14 19 2 2 7" xfId="25228"/>
    <cellStyle name="Normal 14 19 2 3" xfId="1857"/>
    <cellStyle name="Normal 14 19 2 3 2" xfId="25229"/>
    <cellStyle name="Normal 14 19 2 3 2 2" xfId="25230"/>
    <cellStyle name="Normal 14 19 2 3 2 3" xfId="25231"/>
    <cellStyle name="Normal 14 19 2 3 2 4" xfId="25232"/>
    <cellStyle name="Normal 14 19 2 3 3" xfId="25233"/>
    <cellStyle name="Normal 14 19 2 3 4" xfId="25234"/>
    <cellStyle name="Normal 14 19 2 3 5" xfId="25235"/>
    <cellStyle name="Normal 14 19 2 4" xfId="1858"/>
    <cellStyle name="Normal 14 19 2 4 2" xfId="25236"/>
    <cellStyle name="Normal 14 19 2 4 2 2" xfId="25237"/>
    <cellStyle name="Normal 14 19 2 4 2 3" xfId="25238"/>
    <cellStyle name="Normal 14 19 2 4 2 4" xfId="25239"/>
    <cellStyle name="Normal 14 19 2 4 3" xfId="25240"/>
    <cellStyle name="Normal 14 19 2 4 4" xfId="25241"/>
    <cellStyle name="Normal 14 19 2 4 5" xfId="25242"/>
    <cellStyle name="Normal 14 19 2 5" xfId="25243"/>
    <cellStyle name="Normal 14 19 2 5 2" xfId="25244"/>
    <cellStyle name="Normal 14 19 2 5 3" xfId="25245"/>
    <cellStyle name="Normal 14 19 2 5 4" xfId="25246"/>
    <cellStyle name="Normal 14 19 2 6" xfId="25247"/>
    <cellStyle name="Normal 14 19 2 7" xfId="25248"/>
    <cellStyle name="Normal 14 19 2 8" xfId="25249"/>
    <cellStyle name="Normal 14 19 3" xfId="1859"/>
    <cellStyle name="Normal 14 19 3 2" xfId="1860"/>
    <cellStyle name="Normal 14 19 3 2 2" xfId="25250"/>
    <cellStyle name="Normal 14 19 3 2 2 2" xfId="25251"/>
    <cellStyle name="Normal 14 19 3 2 2 3" xfId="25252"/>
    <cellStyle name="Normal 14 19 3 2 2 4" xfId="25253"/>
    <cellStyle name="Normal 14 19 3 2 3" xfId="25254"/>
    <cellStyle name="Normal 14 19 3 2 4" xfId="25255"/>
    <cellStyle name="Normal 14 19 3 2 5" xfId="25256"/>
    <cellStyle name="Normal 14 19 3 3" xfId="1861"/>
    <cellStyle name="Normal 14 19 3 3 2" xfId="25257"/>
    <cellStyle name="Normal 14 19 3 3 2 2" xfId="25258"/>
    <cellStyle name="Normal 14 19 3 3 2 3" xfId="25259"/>
    <cellStyle name="Normal 14 19 3 3 2 4" xfId="25260"/>
    <cellStyle name="Normal 14 19 3 3 3" xfId="25261"/>
    <cellStyle name="Normal 14 19 3 3 4" xfId="25262"/>
    <cellStyle name="Normal 14 19 3 3 5" xfId="25263"/>
    <cellStyle name="Normal 14 19 3 4" xfId="25264"/>
    <cellStyle name="Normal 14 19 3 4 2" xfId="25265"/>
    <cellStyle name="Normal 14 19 3 4 3" xfId="25266"/>
    <cellStyle name="Normal 14 19 3 4 4" xfId="25267"/>
    <cellStyle name="Normal 14 19 3 5" xfId="25268"/>
    <cellStyle name="Normal 14 19 3 6" xfId="25269"/>
    <cellStyle name="Normal 14 19 3 7" xfId="25270"/>
    <cellStyle name="Normal 14 19 4" xfId="1862"/>
    <cellStyle name="Normal 14 19 4 2" xfId="25271"/>
    <cellStyle name="Normal 14 19 4 2 2" xfId="25272"/>
    <cellStyle name="Normal 14 19 4 2 3" xfId="25273"/>
    <cellStyle name="Normal 14 19 4 2 4" xfId="25274"/>
    <cellStyle name="Normal 14 19 4 3" xfId="25275"/>
    <cellStyle name="Normal 14 19 4 4" xfId="25276"/>
    <cellStyle name="Normal 14 19 4 5" xfId="25277"/>
    <cellStyle name="Normal 14 19 5" xfId="1863"/>
    <cellStyle name="Normal 14 19 5 2" xfId="25278"/>
    <cellStyle name="Normal 14 19 5 2 2" xfId="25279"/>
    <cellStyle name="Normal 14 19 5 2 3" xfId="25280"/>
    <cellStyle name="Normal 14 19 5 2 4" xfId="25281"/>
    <cellStyle name="Normal 14 19 5 3" xfId="25282"/>
    <cellStyle name="Normal 14 19 5 4" xfId="25283"/>
    <cellStyle name="Normal 14 19 5 5" xfId="25284"/>
    <cellStyle name="Normal 14 19 6" xfId="25285"/>
    <cellStyle name="Normal 14 19 6 2" xfId="25286"/>
    <cellStyle name="Normal 14 19 6 3" xfId="25287"/>
    <cellStyle name="Normal 14 19 6 4" xfId="25288"/>
    <cellStyle name="Normal 14 19 7" xfId="25289"/>
    <cellStyle name="Normal 14 19 8" xfId="25290"/>
    <cellStyle name="Normal 14 19 9" xfId="25291"/>
    <cellStyle name="Normal 14 2" xfId="1864"/>
    <cellStyle name="Normal 14 2 2" xfId="1865"/>
    <cellStyle name="Normal 14 2 2 2" xfId="1866"/>
    <cellStyle name="Normal 14 2 2 2 2" xfId="1867"/>
    <cellStyle name="Normal 14 2 2 2 2 2" xfId="25292"/>
    <cellStyle name="Normal 14 2 2 2 2 2 2" xfId="25293"/>
    <cellStyle name="Normal 14 2 2 2 2 2 3" xfId="25294"/>
    <cellStyle name="Normal 14 2 2 2 2 2 4" xfId="25295"/>
    <cellStyle name="Normal 14 2 2 2 2 3" xfId="25296"/>
    <cellStyle name="Normal 14 2 2 2 2 4" xfId="25297"/>
    <cellStyle name="Normal 14 2 2 2 2 5" xfId="25298"/>
    <cellStyle name="Normal 14 2 2 2 3" xfId="1868"/>
    <cellStyle name="Normal 14 2 2 2 3 2" xfId="25299"/>
    <cellStyle name="Normal 14 2 2 2 3 2 2" xfId="25300"/>
    <cellStyle name="Normal 14 2 2 2 3 2 3" xfId="25301"/>
    <cellStyle name="Normal 14 2 2 2 3 2 4" xfId="25302"/>
    <cellStyle name="Normal 14 2 2 2 3 3" xfId="25303"/>
    <cellStyle name="Normal 14 2 2 2 3 4" xfId="25304"/>
    <cellStyle name="Normal 14 2 2 2 3 5" xfId="25305"/>
    <cellStyle name="Normal 14 2 2 2 4" xfId="25306"/>
    <cellStyle name="Normal 14 2 2 2 4 2" xfId="25307"/>
    <cellStyle name="Normal 14 2 2 2 4 3" xfId="25308"/>
    <cellStyle name="Normal 14 2 2 2 4 4" xfId="25309"/>
    <cellStyle name="Normal 14 2 2 2 5" xfId="25310"/>
    <cellStyle name="Normal 14 2 2 2 6" xfId="25311"/>
    <cellStyle name="Normal 14 2 2 2 7" xfId="25312"/>
    <cellStyle name="Normal 14 2 2 3" xfId="1869"/>
    <cellStyle name="Normal 14 2 2 3 2" xfId="25313"/>
    <cellStyle name="Normal 14 2 2 3 2 2" xfId="25314"/>
    <cellStyle name="Normal 14 2 2 3 2 3" xfId="25315"/>
    <cellStyle name="Normal 14 2 2 3 2 4" xfId="25316"/>
    <cellStyle name="Normal 14 2 2 3 3" xfId="25317"/>
    <cellStyle name="Normal 14 2 2 3 4" xfId="25318"/>
    <cellStyle name="Normal 14 2 2 3 5" xfId="25319"/>
    <cellStyle name="Normal 14 2 2 4" xfId="1870"/>
    <cellStyle name="Normal 14 2 2 4 2" xfId="25320"/>
    <cellStyle name="Normal 14 2 2 4 2 2" xfId="25321"/>
    <cellStyle name="Normal 14 2 2 4 2 3" xfId="25322"/>
    <cellStyle name="Normal 14 2 2 4 2 4" xfId="25323"/>
    <cellStyle name="Normal 14 2 2 4 3" xfId="25324"/>
    <cellStyle name="Normal 14 2 2 4 4" xfId="25325"/>
    <cellStyle name="Normal 14 2 2 4 5" xfId="25326"/>
    <cellStyle name="Normal 14 2 2 5" xfId="25327"/>
    <cellStyle name="Normal 14 2 2 5 2" xfId="25328"/>
    <cellStyle name="Normal 14 2 2 5 3" xfId="25329"/>
    <cellStyle name="Normal 14 2 2 5 4" xfId="25330"/>
    <cellStyle name="Normal 14 2 2 6" xfId="25331"/>
    <cellStyle name="Normal 14 2 2 7" xfId="25332"/>
    <cellStyle name="Normal 14 2 2 8" xfId="25333"/>
    <cellStyle name="Normal 14 2 3" xfId="1871"/>
    <cellStyle name="Normal 14 2 3 2" xfId="1872"/>
    <cellStyle name="Normal 14 2 3 2 2" xfId="25334"/>
    <cellStyle name="Normal 14 2 3 2 2 2" xfId="25335"/>
    <cellStyle name="Normal 14 2 3 2 2 3" xfId="25336"/>
    <cellStyle name="Normal 14 2 3 2 2 4" xfId="25337"/>
    <cellStyle name="Normal 14 2 3 2 3" xfId="25338"/>
    <cellStyle name="Normal 14 2 3 2 4" xfId="25339"/>
    <cellStyle name="Normal 14 2 3 2 5" xfId="25340"/>
    <cellStyle name="Normal 14 2 3 3" xfId="1873"/>
    <cellStyle name="Normal 14 2 3 3 2" xfId="25341"/>
    <cellStyle name="Normal 14 2 3 3 2 2" xfId="25342"/>
    <cellStyle name="Normal 14 2 3 3 2 3" xfId="25343"/>
    <cellStyle name="Normal 14 2 3 3 2 4" xfId="25344"/>
    <cellStyle name="Normal 14 2 3 3 3" xfId="25345"/>
    <cellStyle name="Normal 14 2 3 3 4" xfId="25346"/>
    <cellStyle name="Normal 14 2 3 3 5" xfId="25347"/>
    <cellStyle name="Normal 14 2 3 4" xfId="25348"/>
    <cellStyle name="Normal 14 2 3 4 2" xfId="25349"/>
    <cellStyle name="Normal 14 2 3 4 3" xfId="25350"/>
    <cellStyle name="Normal 14 2 3 4 4" xfId="25351"/>
    <cellStyle name="Normal 14 2 3 5" xfId="25352"/>
    <cellStyle name="Normal 14 2 3 6" xfId="25353"/>
    <cellStyle name="Normal 14 2 3 7" xfId="25354"/>
    <cellStyle name="Normal 14 2 4" xfId="1874"/>
    <cellStyle name="Normal 14 2 4 2" xfId="25355"/>
    <cellStyle name="Normal 14 2 4 2 2" xfId="25356"/>
    <cellStyle name="Normal 14 2 4 2 3" xfId="25357"/>
    <cellStyle name="Normal 14 2 4 2 4" xfId="25358"/>
    <cellStyle name="Normal 14 2 4 3" xfId="25359"/>
    <cellStyle name="Normal 14 2 4 4" xfId="25360"/>
    <cellStyle name="Normal 14 2 4 5" xfId="25361"/>
    <cellStyle name="Normal 14 2 5" xfId="1875"/>
    <cellStyle name="Normal 14 2 5 2" xfId="25362"/>
    <cellStyle name="Normal 14 2 5 2 2" xfId="25363"/>
    <cellStyle name="Normal 14 2 5 2 3" xfId="25364"/>
    <cellStyle name="Normal 14 2 5 2 4" xfId="25365"/>
    <cellStyle name="Normal 14 2 5 3" xfId="25366"/>
    <cellStyle name="Normal 14 2 5 4" xfId="25367"/>
    <cellStyle name="Normal 14 2 5 5" xfId="25368"/>
    <cellStyle name="Normal 14 2 6" xfId="25369"/>
    <cellStyle name="Normal 14 2 6 2" xfId="25370"/>
    <cellStyle name="Normal 14 2 6 3" xfId="25371"/>
    <cellStyle name="Normal 14 2 6 4" xfId="25372"/>
    <cellStyle name="Normal 14 2 7" xfId="25373"/>
    <cellStyle name="Normal 14 2 8" xfId="25374"/>
    <cellStyle name="Normal 14 2 9" xfId="25375"/>
    <cellStyle name="Normal 14 20" xfId="1876"/>
    <cellStyle name="Normal 14 20 2" xfId="1877"/>
    <cellStyle name="Normal 14 20 2 2" xfId="1878"/>
    <cellStyle name="Normal 14 20 2 2 2" xfId="25376"/>
    <cellStyle name="Normal 14 20 2 2 2 2" xfId="25377"/>
    <cellStyle name="Normal 14 20 2 2 2 3" xfId="25378"/>
    <cellStyle name="Normal 14 20 2 2 2 4" xfId="25379"/>
    <cellStyle name="Normal 14 20 2 2 3" xfId="25380"/>
    <cellStyle name="Normal 14 20 2 2 4" xfId="25381"/>
    <cellStyle name="Normal 14 20 2 2 5" xfId="25382"/>
    <cellStyle name="Normal 14 20 2 3" xfId="1879"/>
    <cellStyle name="Normal 14 20 2 3 2" xfId="25383"/>
    <cellStyle name="Normal 14 20 2 3 2 2" xfId="25384"/>
    <cellStyle name="Normal 14 20 2 3 2 3" xfId="25385"/>
    <cellStyle name="Normal 14 20 2 3 2 4" xfId="25386"/>
    <cellStyle name="Normal 14 20 2 3 3" xfId="25387"/>
    <cellStyle name="Normal 14 20 2 3 4" xfId="25388"/>
    <cellStyle name="Normal 14 20 2 3 5" xfId="25389"/>
    <cellStyle name="Normal 14 20 2 4" xfId="25390"/>
    <cellStyle name="Normal 14 20 2 4 2" xfId="25391"/>
    <cellStyle name="Normal 14 20 2 4 3" xfId="25392"/>
    <cellStyle name="Normal 14 20 2 4 4" xfId="25393"/>
    <cellStyle name="Normal 14 20 2 5" xfId="25394"/>
    <cellStyle name="Normal 14 20 2 6" xfId="25395"/>
    <cellStyle name="Normal 14 20 2 7" xfId="25396"/>
    <cellStyle name="Normal 14 20 3" xfId="1880"/>
    <cellStyle name="Normal 14 20 3 2" xfId="25397"/>
    <cellStyle name="Normal 14 20 3 2 2" xfId="25398"/>
    <cellStyle name="Normal 14 20 3 2 3" xfId="25399"/>
    <cellStyle name="Normal 14 20 3 2 4" xfId="25400"/>
    <cellStyle name="Normal 14 20 3 3" xfId="25401"/>
    <cellStyle name="Normal 14 20 3 4" xfId="25402"/>
    <cellStyle name="Normal 14 20 3 5" xfId="25403"/>
    <cellStyle name="Normal 14 20 4" xfId="1881"/>
    <cellStyle name="Normal 14 20 4 2" xfId="25404"/>
    <cellStyle name="Normal 14 20 4 2 2" xfId="25405"/>
    <cellStyle name="Normal 14 20 4 2 3" xfId="25406"/>
    <cellStyle name="Normal 14 20 4 2 4" xfId="25407"/>
    <cellStyle name="Normal 14 20 4 3" xfId="25408"/>
    <cellStyle name="Normal 14 20 4 4" xfId="25409"/>
    <cellStyle name="Normal 14 20 4 5" xfId="25410"/>
    <cellStyle name="Normal 14 20 5" xfId="25411"/>
    <cellStyle name="Normal 14 20 5 2" xfId="25412"/>
    <cellStyle name="Normal 14 20 5 3" xfId="25413"/>
    <cellStyle name="Normal 14 20 5 4" xfId="25414"/>
    <cellStyle name="Normal 14 20 6" xfId="25415"/>
    <cellStyle name="Normal 14 20 7" xfId="25416"/>
    <cellStyle name="Normal 14 20 8" xfId="25417"/>
    <cellStyle name="Normal 14 21" xfId="1882"/>
    <cellStyle name="Normal 14 21 2" xfId="1883"/>
    <cellStyle name="Normal 14 21 2 2" xfId="25418"/>
    <cellStyle name="Normal 14 21 2 2 2" xfId="25419"/>
    <cellStyle name="Normal 14 21 2 2 3" xfId="25420"/>
    <cellStyle name="Normal 14 21 2 2 4" xfId="25421"/>
    <cellStyle name="Normal 14 21 2 3" xfId="25422"/>
    <cellStyle name="Normal 14 21 2 4" xfId="25423"/>
    <cellStyle name="Normal 14 21 2 5" xfId="25424"/>
    <cellStyle name="Normal 14 21 3" xfId="1884"/>
    <cellStyle name="Normal 14 21 3 2" xfId="25425"/>
    <cellStyle name="Normal 14 21 3 2 2" xfId="25426"/>
    <cellStyle name="Normal 14 21 3 2 3" xfId="25427"/>
    <cellStyle name="Normal 14 21 3 2 4" xfId="25428"/>
    <cellStyle name="Normal 14 21 3 3" xfId="25429"/>
    <cellStyle name="Normal 14 21 3 4" xfId="25430"/>
    <cellStyle name="Normal 14 21 3 5" xfId="25431"/>
    <cellStyle name="Normal 14 21 4" xfId="25432"/>
    <cellStyle name="Normal 14 21 4 2" xfId="25433"/>
    <cellStyle name="Normal 14 21 4 3" xfId="25434"/>
    <cellStyle name="Normal 14 21 4 4" xfId="25435"/>
    <cellStyle name="Normal 14 21 5" xfId="25436"/>
    <cellStyle name="Normal 14 21 6" xfId="25437"/>
    <cellStyle name="Normal 14 21 7" xfId="25438"/>
    <cellStyle name="Normal 14 22" xfId="1885"/>
    <cellStyle name="Normal 14 22 2" xfId="25439"/>
    <cellStyle name="Normal 14 22 2 2" xfId="25440"/>
    <cellStyle name="Normal 14 22 2 3" xfId="25441"/>
    <cellStyle name="Normal 14 22 2 4" xfId="25442"/>
    <cellStyle name="Normal 14 22 3" xfId="25443"/>
    <cellStyle name="Normal 14 22 4" xfId="25444"/>
    <cellStyle name="Normal 14 22 5" xfId="25445"/>
    <cellStyle name="Normal 14 23" xfId="1886"/>
    <cellStyle name="Normal 14 23 2" xfId="25446"/>
    <cellStyle name="Normal 14 23 2 2" xfId="25447"/>
    <cellStyle name="Normal 14 23 2 3" xfId="25448"/>
    <cellStyle name="Normal 14 23 2 4" xfId="25449"/>
    <cellStyle name="Normal 14 23 3" xfId="25450"/>
    <cellStyle name="Normal 14 23 4" xfId="25451"/>
    <cellStyle name="Normal 14 23 5" xfId="25452"/>
    <cellStyle name="Normal 14 24" xfId="25453"/>
    <cellStyle name="Normal 14 24 2" xfId="25454"/>
    <cellStyle name="Normal 14 24 3" xfId="25455"/>
    <cellStyle name="Normal 14 24 4" xfId="25456"/>
    <cellStyle name="Normal 14 25" xfId="25457"/>
    <cellStyle name="Normal 14 26" xfId="25458"/>
    <cellStyle name="Normal 14 27" xfId="25459"/>
    <cellStyle name="Normal 14 3" xfId="1887"/>
    <cellStyle name="Normal 14 3 2" xfId="1888"/>
    <cellStyle name="Normal 14 3 2 2" xfId="1889"/>
    <cellStyle name="Normal 14 3 2 2 2" xfId="1890"/>
    <cellStyle name="Normal 14 3 2 2 2 2" xfId="25460"/>
    <cellStyle name="Normal 14 3 2 2 2 2 2" xfId="25461"/>
    <cellStyle name="Normal 14 3 2 2 2 2 3" xfId="25462"/>
    <cellStyle name="Normal 14 3 2 2 2 2 4" xfId="25463"/>
    <cellStyle name="Normal 14 3 2 2 2 3" xfId="25464"/>
    <cellStyle name="Normal 14 3 2 2 2 4" xfId="25465"/>
    <cellStyle name="Normal 14 3 2 2 2 5" xfId="25466"/>
    <cellStyle name="Normal 14 3 2 2 3" xfId="1891"/>
    <cellStyle name="Normal 14 3 2 2 3 2" xfId="25467"/>
    <cellStyle name="Normal 14 3 2 2 3 2 2" xfId="25468"/>
    <cellStyle name="Normal 14 3 2 2 3 2 3" xfId="25469"/>
    <cellStyle name="Normal 14 3 2 2 3 2 4" xfId="25470"/>
    <cellStyle name="Normal 14 3 2 2 3 3" xfId="25471"/>
    <cellStyle name="Normal 14 3 2 2 3 4" xfId="25472"/>
    <cellStyle name="Normal 14 3 2 2 3 5" xfId="25473"/>
    <cellStyle name="Normal 14 3 2 2 4" xfId="25474"/>
    <cellStyle name="Normal 14 3 2 2 4 2" xfId="25475"/>
    <cellStyle name="Normal 14 3 2 2 4 3" xfId="25476"/>
    <cellStyle name="Normal 14 3 2 2 4 4" xfId="25477"/>
    <cellStyle name="Normal 14 3 2 2 5" xfId="25478"/>
    <cellStyle name="Normal 14 3 2 2 6" xfId="25479"/>
    <cellStyle name="Normal 14 3 2 2 7" xfId="25480"/>
    <cellStyle name="Normal 14 3 2 3" xfId="1892"/>
    <cellStyle name="Normal 14 3 2 3 2" xfId="25481"/>
    <cellStyle name="Normal 14 3 2 3 2 2" xfId="25482"/>
    <cellStyle name="Normal 14 3 2 3 2 3" xfId="25483"/>
    <cellStyle name="Normal 14 3 2 3 2 4" xfId="25484"/>
    <cellStyle name="Normal 14 3 2 3 3" xfId="25485"/>
    <cellStyle name="Normal 14 3 2 3 4" xfId="25486"/>
    <cellStyle name="Normal 14 3 2 3 5" xfId="25487"/>
    <cellStyle name="Normal 14 3 2 4" xfId="1893"/>
    <cellStyle name="Normal 14 3 2 4 2" xfId="25488"/>
    <cellStyle name="Normal 14 3 2 4 2 2" xfId="25489"/>
    <cellStyle name="Normal 14 3 2 4 2 3" xfId="25490"/>
    <cellStyle name="Normal 14 3 2 4 2 4" xfId="25491"/>
    <cellStyle name="Normal 14 3 2 4 3" xfId="25492"/>
    <cellStyle name="Normal 14 3 2 4 4" xfId="25493"/>
    <cellStyle name="Normal 14 3 2 4 5" xfId="25494"/>
    <cellStyle name="Normal 14 3 2 5" xfId="25495"/>
    <cellStyle name="Normal 14 3 2 5 2" xfId="25496"/>
    <cellStyle name="Normal 14 3 2 5 3" xfId="25497"/>
    <cellStyle name="Normal 14 3 2 5 4" xfId="25498"/>
    <cellStyle name="Normal 14 3 2 6" xfId="25499"/>
    <cellStyle name="Normal 14 3 2 7" xfId="25500"/>
    <cellStyle name="Normal 14 3 2 8" xfId="25501"/>
    <cellStyle name="Normal 14 3 3" xfId="1894"/>
    <cellStyle name="Normal 14 3 3 2" xfId="1895"/>
    <cellStyle name="Normal 14 3 3 2 2" xfId="25502"/>
    <cellStyle name="Normal 14 3 3 2 2 2" xfId="25503"/>
    <cellStyle name="Normal 14 3 3 2 2 3" xfId="25504"/>
    <cellStyle name="Normal 14 3 3 2 2 4" xfId="25505"/>
    <cellStyle name="Normal 14 3 3 2 3" xfId="25506"/>
    <cellStyle name="Normal 14 3 3 2 4" xfId="25507"/>
    <cellStyle name="Normal 14 3 3 2 5" xfId="25508"/>
    <cellStyle name="Normal 14 3 3 3" xfId="1896"/>
    <cellStyle name="Normal 14 3 3 3 2" xfId="25509"/>
    <cellStyle name="Normal 14 3 3 3 2 2" xfId="25510"/>
    <cellStyle name="Normal 14 3 3 3 2 3" xfId="25511"/>
    <cellStyle name="Normal 14 3 3 3 2 4" xfId="25512"/>
    <cellStyle name="Normal 14 3 3 3 3" xfId="25513"/>
    <cellStyle name="Normal 14 3 3 3 4" xfId="25514"/>
    <cellStyle name="Normal 14 3 3 3 5" xfId="25515"/>
    <cellStyle name="Normal 14 3 3 4" xfId="25516"/>
    <cellStyle name="Normal 14 3 3 4 2" xfId="25517"/>
    <cellStyle name="Normal 14 3 3 4 3" xfId="25518"/>
    <cellStyle name="Normal 14 3 3 4 4" xfId="25519"/>
    <cellStyle name="Normal 14 3 3 5" xfId="25520"/>
    <cellStyle name="Normal 14 3 3 6" xfId="25521"/>
    <cellStyle name="Normal 14 3 3 7" xfId="25522"/>
    <cellStyle name="Normal 14 3 4" xfId="1897"/>
    <cellStyle name="Normal 14 3 4 2" xfId="25523"/>
    <cellStyle name="Normal 14 3 4 2 2" xfId="25524"/>
    <cellStyle name="Normal 14 3 4 2 3" xfId="25525"/>
    <cellStyle name="Normal 14 3 4 2 4" xfId="25526"/>
    <cellStyle name="Normal 14 3 4 3" xfId="25527"/>
    <cellStyle name="Normal 14 3 4 4" xfId="25528"/>
    <cellStyle name="Normal 14 3 4 5" xfId="25529"/>
    <cellStyle name="Normal 14 3 5" xfId="1898"/>
    <cellStyle name="Normal 14 3 5 2" xfId="25530"/>
    <cellStyle name="Normal 14 3 5 2 2" xfId="25531"/>
    <cellStyle name="Normal 14 3 5 2 3" xfId="25532"/>
    <cellStyle name="Normal 14 3 5 2 4" xfId="25533"/>
    <cellStyle name="Normal 14 3 5 3" xfId="25534"/>
    <cellStyle name="Normal 14 3 5 4" xfId="25535"/>
    <cellStyle name="Normal 14 3 5 5" xfId="25536"/>
    <cellStyle name="Normal 14 3 6" xfId="25537"/>
    <cellStyle name="Normal 14 3 6 2" xfId="25538"/>
    <cellStyle name="Normal 14 3 6 3" xfId="25539"/>
    <cellStyle name="Normal 14 3 6 4" xfId="25540"/>
    <cellStyle name="Normal 14 3 7" xfId="25541"/>
    <cellStyle name="Normal 14 3 8" xfId="25542"/>
    <cellStyle name="Normal 14 3 9" xfId="25543"/>
    <cellStyle name="Normal 14 4" xfId="1899"/>
    <cellStyle name="Normal 14 4 2" xfId="1900"/>
    <cellStyle name="Normal 14 4 2 2" xfId="1901"/>
    <cellStyle name="Normal 14 4 2 2 2" xfId="1902"/>
    <cellStyle name="Normal 14 4 2 2 2 2" xfId="25544"/>
    <cellStyle name="Normal 14 4 2 2 2 2 2" xfId="25545"/>
    <cellStyle name="Normal 14 4 2 2 2 2 3" xfId="25546"/>
    <cellStyle name="Normal 14 4 2 2 2 2 4" xfId="25547"/>
    <cellStyle name="Normal 14 4 2 2 2 3" xfId="25548"/>
    <cellStyle name="Normal 14 4 2 2 2 4" xfId="25549"/>
    <cellStyle name="Normal 14 4 2 2 2 5" xfId="25550"/>
    <cellStyle name="Normal 14 4 2 2 3" xfId="1903"/>
    <cellStyle name="Normal 14 4 2 2 3 2" xfId="25551"/>
    <cellStyle name="Normal 14 4 2 2 3 2 2" xfId="25552"/>
    <cellStyle name="Normal 14 4 2 2 3 2 3" xfId="25553"/>
    <cellStyle name="Normal 14 4 2 2 3 2 4" xfId="25554"/>
    <cellStyle name="Normal 14 4 2 2 3 3" xfId="25555"/>
    <cellStyle name="Normal 14 4 2 2 3 4" xfId="25556"/>
    <cellStyle name="Normal 14 4 2 2 3 5" xfId="25557"/>
    <cellStyle name="Normal 14 4 2 2 4" xfId="25558"/>
    <cellStyle name="Normal 14 4 2 2 4 2" xfId="25559"/>
    <cellStyle name="Normal 14 4 2 2 4 3" xfId="25560"/>
    <cellStyle name="Normal 14 4 2 2 4 4" xfId="25561"/>
    <cellStyle name="Normal 14 4 2 2 5" xfId="25562"/>
    <cellStyle name="Normal 14 4 2 2 6" xfId="25563"/>
    <cellStyle name="Normal 14 4 2 2 7" xfId="25564"/>
    <cellStyle name="Normal 14 4 2 3" xfId="1904"/>
    <cellStyle name="Normal 14 4 2 3 2" xfId="25565"/>
    <cellStyle name="Normal 14 4 2 3 2 2" xfId="25566"/>
    <cellStyle name="Normal 14 4 2 3 2 3" xfId="25567"/>
    <cellStyle name="Normal 14 4 2 3 2 4" xfId="25568"/>
    <cellStyle name="Normal 14 4 2 3 3" xfId="25569"/>
    <cellStyle name="Normal 14 4 2 3 4" xfId="25570"/>
    <cellStyle name="Normal 14 4 2 3 5" xfId="25571"/>
    <cellStyle name="Normal 14 4 2 4" xfId="1905"/>
    <cellStyle name="Normal 14 4 2 4 2" xfId="25572"/>
    <cellStyle name="Normal 14 4 2 4 2 2" xfId="25573"/>
    <cellStyle name="Normal 14 4 2 4 2 3" xfId="25574"/>
    <cellStyle name="Normal 14 4 2 4 2 4" xfId="25575"/>
    <cellStyle name="Normal 14 4 2 4 3" xfId="25576"/>
    <cellStyle name="Normal 14 4 2 4 4" xfId="25577"/>
    <cellStyle name="Normal 14 4 2 4 5" xfId="25578"/>
    <cellStyle name="Normal 14 4 2 5" xfId="25579"/>
    <cellStyle name="Normal 14 4 2 5 2" xfId="25580"/>
    <cellStyle name="Normal 14 4 2 5 3" xfId="25581"/>
    <cellStyle name="Normal 14 4 2 5 4" xfId="25582"/>
    <cellStyle name="Normal 14 4 2 6" xfId="25583"/>
    <cellStyle name="Normal 14 4 2 7" xfId="25584"/>
    <cellStyle name="Normal 14 4 2 8" xfId="25585"/>
    <cellStyle name="Normal 14 4 3" xfId="1906"/>
    <cellStyle name="Normal 14 4 3 2" xfId="1907"/>
    <cellStyle name="Normal 14 4 3 2 2" xfId="25586"/>
    <cellStyle name="Normal 14 4 3 2 2 2" xfId="25587"/>
    <cellStyle name="Normal 14 4 3 2 2 3" xfId="25588"/>
    <cellStyle name="Normal 14 4 3 2 2 4" xfId="25589"/>
    <cellStyle name="Normal 14 4 3 2 3" xfId="25590"/>
    <cellStyle name="Normal 14 4 3 2 4" xfId="25591"/>
    <cellStyle name="Normal 14 4 3 2 5" xfId="25592"/>
    <cellStyle name="Normal 14 4 3 3" xfId="1908"/>
    <cellStyle name="Normal 14 4 3 3 2" xfId="25593"/>
    <cellStyle name="Normal 14 4 3 3 2 2" xfId="25594"/>
    <cellStyle name="Normal 14 4 3 3 2 3" xfId="25595"/>
    <cellStyle name="Normal 14 4 3 3 2 4" xfId="25596"/>
    <cellStyle name="Normal 14 4 3 3 3" xfId="25597"/>
    <cellStyle name="Normal 14 4 3 3 4" xfId="25598"/>
    <cellStyle name="Normal 14 4 3 3 5" xfId="25599"/>
    <cellStyle name="Normal 14 4 3 4" xfId="25600"/>
    <cellStyle name="Normal 14 4 3 4 2" xfId="25601"/>
    <cellStyle name="Normal 14 4 3 4 3" xfId="25602"/>
    <cellStyle name="Normal 14 4 3 4 4" xfId="25603"/>
    <cellStyle name="Normal 14 4 3 5" xfId="25604"/>
    <cellStyle name="Normal 14 4 3 6" xfId="25605"/>
    <cellStyle name="Normal 14 4 3 7" xfId="25606"/>
    <cellStyle name="Normal 14 4 4" xfId="1909"/>
    <cellStyle name="Normal 14 4 4 2" xfId="25607"/>
    <cellStyle name="Normal 14 4 4 2 2" xfId="25608"/>
    <cellStyle name="Normal 14 4 4 2 3" xfId="25609"/>
    <cellStyle name="Normal 14 4 4 2 4" xfId="25610"/>
    <cellStyle name="Normal 14 4 4 3" xfId="25611"/>
    <cellStyle name="Normal 14 4 4 4" xfId="25612"/>
    <cellStyle name="Normal 14 4 4 5" xfId="25613"/>
    <cellStyle name="Normal 14 4 5" xfId="1910"/>
    <cellStyle name="Normal 14 4 5 2" xfId="25614"/>
    <cellStyle name="Normal 14 4 5 2 2" xfId="25615"/>
    <cellStyle name="Normal 14 4 5 2 3" xfId="25616"/>
    <cellStyle name="Normal 14 4 5 2 4" xfId="25617"/>
    <cellStyle name="Normal 14 4 5 3" xfId="25618"/>
    <cellStyle name="Normal 14 4 5 4" xfId="25619"/>
    <cellStyle name="Normal 14 4 5 5" xfId="25620"/>
    <cellStyle name="Normal 14 4 6" xfId="25621"/>
    <cellStyle name="Normal 14 4 6 2" xfId="25622"/>
    <cellStyle name="Normal 14 4 6 3" xfId="25623"/>
    <cellStyle name="Normal 14 4 6 4" xfId="25624"/>
    <cellStyle name="Normal 14 4 7" xfId="25625"/>
    <cellStyle name="Normal 14 4 8" xfId="25626"/>
    <cellStyle name="Normal 14 4 9" xfId="25627"/>
    <cellStyle name="Normal 14 5" xfId="1911"/>
    <cellStyle name="Normal 14 5 2" xfId="1912"/>
    <cellStyle name="Normal 14 5 2 2" xfId="1913"/>
    <cellStyle name="Normal 14 5 2 2 2" xfId="1914"/>
    <cellStyle name="Normal 14 5 2 2 2 2" xfId="25628"/>
    <cellStyle name="Normal 14 5 2 2 2 2 2" xfId="25629"/>
    <cellStyle name="Normal 14 5 2 2 2 2 3" xfId="25630"/>
    <cellStyle name="Normal 14 5 2 2 2 2 4" xfId="25631"/>
    <cellStyle name="Normal 14 5 2 2 2 3" xfId="25632"/>
    <cellStyle name="Normal 14 5 2 2 2 4" xfId="25633"/>
    <cellStyle name="Normal 14 5 2 2 2 5" xfId="25634"/>
    <cellStyle name="Normal 14 5 2 2 3" xfId="1915"/>
    <cellStyle name="Normal 14 5 2 2 3 2" xfId="25635"/>
    <cellStyle name="Normal 14 5 2 2 3 2 2" xfId="25636"/>
    <cellStyle name="Normal 14 5 2 2 3 2 3" xfId="25637"/>
    <cellStyle name="Normal 14 5 2 2 3 2 4" xfId="25638"/>
    <cellStyle name="Normal 14 5 2 2 3 3" xfId="25639"/>
    <cellStyle name="Normal 14 5 2 2 3 4" xfId="25640"/>
    <cellStyle name="Normal 14 5 2 2 3 5" xfId="25641"/>
    <cellStyle name="Normal 14 5 2 2 4" xfId="25642"/>
    <cellStyle name="Normal 14 5 2 2 4 2" xfId="25643"/>
    <cellStyle name="Normal 14 5 2 2 4 3" xfId="25644"/>
    <cellStyle name="Normal 14 5 2 2 4 4" xfId="25645"/>
    <cellStyle name="Normal 14 5 2 2 5" xfId="25646"/>
    <cellStyle name="Normal 14 5 2 2 6" xfId="25647"/>
    <cellStyle name="Normal 14 5 2 2 7" xfId="25648"/>
    <cellStyle name="Normal 14 5 2 3" xfId="1916"/>
    <cellStyle name="Normal 14 5 2 3 2" xfId="25649"/>
    <cellStyle name="Normal 14 5 2 3 2 2" xfId="25650"/>
    <cellStyle name="Normal 14 5 2 3 2 3" xfId="25651"/>
    <cellStyle name="Normal 14 5 2 3 2 4" xfId="25652"/>
    <cellStyle name="Normal 14 5 2 3 3" xfId="25653"/>
    <cellStyle name="Normal 14 5 2 3 4" xfId="25654"/>
    <cellStyle name="Normal 14 5 2 3 5" xfId="25655"/>
    <cellStyle name="Normal 14 5 2 4" xfId="1917"/>
    <cellStyle name="Normal 14 5 2 4 2" xfId="25656"/>
    <cellStyle name="Normal 14 5 2 4 2 2" xfId="25657"/>
    <cellStyle name="Normal 14 5 2 4 2 3" xfId="25658"/>
    <cellStyle name="Normal 14 5 2 4 2 4" xfId="25659"/>
    <cellStyle name="Normal 14 5 2 4 3" xfId="25660"/>
    <cellStyle name="Normal 14 5 2 4 4" xfId="25661"/>
    <cellStyle name="Normal 14 5 2 4 5" xfId="25662"/>
    <cellStyle name="Normal 14 5 2 5" xfId="25663"/>
    <cellStyle name="Normal 14 5 2 5 2" xfId="25664"/>
    <cellStyle name="Normal 14 5 2 5 3" xfId="25665"/>
    <cellStyle name="Normal 14 5 2 5 4" xfId="25666"/>
    <cellStyle name="Normal 14 5 2 6" xfId="25667"/>
    <cellStyle name="Normal 14 5 2 7" xfId="25668"/>
    <cellStyle name="Normal 14 5 2 8" xfId="25669"/>
    <cellStyle name="Normal 14 5 3" xfId="1918"/>
    <cellStyle name="Normal 14 5 3 2" xfId="1919"/>
    <cellStyle name="Normal 14 5 3 2 2" xfId="25670"/>
    <cellStyle name="Normal 14 5 3 2 2 2" xfId="25671"/>
    <cellStyle name="Normal 14 5 3 2 2 3" xfId="25672"/>
    <cellStyle name="Normal 14 5 3 2 2 4" xfId="25673"/>
    <cellStyle name="Normal 14 5 3 2 3" xfId="25674"/>
    <cellStyle name="Normal 14 5 3 2 4" xfId="25675"/>
    <cellStyle name="Normal 14 5 3 2 5" xfId="25676"/>
    <cellStyle name="Normal 14 5 3 3" xfId="1920"/>
    <cellStyle name="Normal 14 5 3 3 2" xfId="25677"/>
    <cellStyle name="Normal 14 5 3 3 2 2" xfId="25678"/>
    <cellStyle name="Normal 14 5 3 3 2 3" xfId="25679"/>
    <cellStyle name="Normal 14 5 3 3 2 4" xfId="25680"/>
    <cellStyle name="Normal 14 5 3 3 3" xfId="25681"/>
    <cellStyle name="Normal 14 5 3 3 4" xfId="25682"/>
    <cellStyle name="Normal 14 5 3 3 5" xfId="25683"/>
    <cellStyle name="Normal 14 5 3 4" xfId="25684"/>
    <cellStyle name="Normal 14 5 3 4 2" xfId="25685"/>
    <cellStyle name="Normal 14 5 3 4 3" xfId="25686"/>
    <cellStyle name="Normal 14 5 3 4 4" xfId="25687"/>
    <cellStyle name="Normal 14 5 3 5" xfId="25688"/>
    <cellStyle name="Normal 14 5 3 6" xfId="25689"/>
    <cellStyle name="Normal 14 5 3 7" xfId="25690"/>
    <cellStyle name="Normal 14 5 4" xfId="1921"/>
    <cellStyle name="Normal 14 5 4 2" xfId="25691"/>
    <cellStyle name="Normal 14 5 4 2 2" xfId="25692"/>
    <cellStyle name="Normal 14 5 4 2 3" xfId="25693"/>
    <cellStyle name="Normal 14 5 4 2 4" xfId="25694"/>
    <cellStyle name="Normal 14 5 4 3" xfId="25695"/>
    <cellStyle name="Normal 14 5 4 4" xfId="25696"/>
    <cellStyle name="Normal 14 5 4 5" xfId="25697"/>
    <cellStyle name="Normal 14 5 5" xfId="1922"/>
    <cellStyle name="Normal 14 5 5 2" xfId="25698"/>
    <cellStyle name="Normal 14 5 5 2 2" xfId="25699"/>
    <cellStyle name="Normal 14 5 5 2 3" xfId="25700"/>
    <cellStyle name="Normal 14 5 5 2 4" xfId="25701"/>
    <cellStyle name="Normal 14 5 5 3" xfId="25702"/>
    <cellStyle name="Normal 14 5 5 4" xfId="25703"/>
    <cellStyle name="Normal 14 5 5 5" xfId="25704"/>
    <cellStyle name="Normal 14 5 6" xfId="25705"/>
    <cellStyle name="Normal 14 5 6 2" xfId="25706"/>
    <cellStyle name="Normal 14 5 6 3" xfId="25707"/>
    <cellStyle name="Normal 14 5 6 4" xfId="25708"/>
    <cellStyle name="Normal 14 5 7" xfId="25709"/>
    <cellStyle name="Normal 14 5 8" xfId="25710"/>
    <cellStyle name="Normal 14 5 9" xfId="25711"/>
    <cellStyle name="Normal 14 6" xfId="1923"/>
    <cellStyle name="Normal 14 6 2" xfId="1924"/>
    <cellStyle name="Normal 14 6 2 2" xfId="1925"/>
    <cellStyle name="Normal 14 6 2 2 2" xfId="1926"/>
    <cellStyle name="Normal 14 6 2 2 2 2" xfId="25712"/>
    <cellStyle name="Normal 14 6 2 2 2 2 2" xfId="25713"/>
    <cellStyle name="Normal 14 6 2 2 2 2 3" xfId="25714"/>
    <cellStyle name="Normal 14 6 2 2 2 2 4" xfId="25715"/>
    <cellStyle name="Normal 14 6 2 2 2 3" xfId="25716"/>
    <cellStyle name="Normal 14 6 2 2 2 4" xfId="25717"/>
    <cellStyle name="Normal 14 6 2 2 2 5" xfId="25718"/>
    <cellStyle name="Normal 14 6 2 2 3" xfId="1927"/>
    <cellStyle name="Normal 14 6 2 2 3 2" xfId="25719"/>
    <cellStyle name="Normal 14 6 2 2 3 2 2" xfId="25720"/>
    <cellStyle name="Normal 14 6 2 2 3 2 3" xfId="25721"/>
    <cellStyle name="Normal 14 6 2 2 3 2 4" xfId="25722"/>
    <cellStyle name="Normal 14 6 2 2 3 3" xfId="25723"/>
    <cellStyle name="Normal 14 6 2 2 3 4" xfId="25724"/>
    <cellStyle name="Normal 14 6 2 2 3 5" xfId="25725"/>
    <cellStyle name="Normal 14 6 2 2 4" xfId="25726"/>
    <cellStyle name="Normal 14 6 2 2 4 2" xfId="25727"/>
    <cellStyle name="Normal 14 6 2 2 4 3" xfId="25728"/>
    <cellStyle name="Normal 14 6 2 2 4 4" xfId="25729"/>
    <cellStyle name="Normal 14 6 2 2 5" xfId="25730"/>
    <cellStyle name="Normal 14 6 2 2 6" xfId="25731"/>
    <cellStyle name="Normal 14 6 2 2 7" xfId="25732"/>
    <cellStyle name="Normal 14 6 2 3" xfId="1928"/>
    <cellStyle name="Normal 14 6 2 3 2" xfId="25733"/>
    <cellStyle name="Normal 14 6 2 3 2 2" xfId="25734"/>
    <cellStyle name="Normal 14 6 2 3 2 3" xfId="25735"/>
    <cellStyle name="Normal 14 6 2 3 2 4" xfId="25736"/>
    <cellStyle name="Normal 14 6 2 3 3" xfId="25737"/>
    <cellStyle name="Normal 14 6 2 3 4" xfId="25738"/>
    <cellStyle name="Normal 14 6 2 3 5" xfId="25739"/>
    <cellStyle name="Normal 14 6 2 4" xfId="1929"/>
    <cellStyle name="Normal 14 6 2 4 2" xfId="25740"/>
    <cellStyle name="Normal 14 6 2 4 2 2" xfId="25741"/>
    <cellStyle name="Normal 14 6 2 4 2 3" xfId="25742"/>
    <cellStyle name="Normal 14 6 2 4 2 4" xfId="25743"/>
    <cellStyle name="Normal 14 6 2 4 3" xfId="25744"/>
    <cellStyle name="Normal 14 6 2 4 4" xfId="25745"/>
    <cellStyle name="Normal 14 6 2 4 5" xfId="25746"/>
    <cellStyle name="Normal 14 6 2 5" xfId="25747"/>
    <cellStyle name="Normal 14 6 2 5 2" xfId="25748"/>
    <cellStyle name="Normal 14 6 2 5 3" xfId="25749"/>
    <cellStyle name="Normal 14 6 2 5 4" xfId="25750"/>
    <cellStyle name="Normal 14 6 2 6" xfId="25751"/>
    <cellStyle name="Normal 14 6 2 7" xfId="25752"/>
    <cellStyle name="Normal 14 6 2 8" xfId="25753"/>
    <cellStyle name="Normal 14 6 3" xfId="1930"/>
    <cellStyle name="Normal 14 6 3 2" xfId="1931"/>
    <cellStyle name="Normal 14 6 3 2 2" xfId="25754"/>
    <cellStyle name="Normal 14 6 3 2 2 2" xfId="25755"/>
    <cellStyle name="Normal 14 6 3 2 2 3" xfId="25756"/>
    <cellStyle name="Normal 14 6 3 2 2 4" xfId="25757"/>
    <cellStyle name="Normal 14 6 3 2 3" xfId="25758"/>
    <cellStyle name="Normal 14 6 3 2 4" xfId="25759"/>
    <cellStyle name="Normal 14 6 3 2 5" xfId="25760"/>
    <cellStyle name="Normal 14 6 3 3" xfId="1932"/>
    <cellStyle name="Normal 14 6 3 3 2" xfId="25761"/>
    <cellStyle name="Normal 14 6 3 3 2 2" xfId="25762"/>
    <cellStyle name="Normal 14 6 3 3 2 3" xfId="25763"/>
    <cellStyle name="Normal 14 6 3 3 2 4" xfId="25764"/>
    <cellStyle name="Normal 14 6 3 3 3" xfId="25765"/>
    <cellStyle name="Normal 14 6 3 3 4" xfId="25766"/>
    <cellStyle name="Normal 14 6 3 3 5" xfId="25767"/>
    <cellStyle name="Normal 14 6 3 4" xfId="25768"/>
    <cellStyle name="Normal 14 6 3 4 2" xfId="25769"/>
    <cellStyle name="Normal 14 6 3 4 3" xfId="25770"/>
    <cellStyle name="Normal 14 6 3 4 4" xfId="25771"/>
    <cellStyle name="Normal 14 6 3 5" xfId="25772"/>
    <cellStyle name="Normal 14 6 3 6" xfId="25773"/>
    <cellStyle name="Normal 14 6 3 7" xfId="25774"/>
    <cellStyle name="Normal 14 6 4" xfId="1933"/>
    <cellStyle name="Normal 14 6 4 2" xfId="25775"/>
    <cellStyle name="Normal 14 6 4 2 2" xfId="25776"/>
    <cellStyle name="Normal 14 6 4 2 3" xfId="25777"/>
    <cellStyle name="Normal 14 6 4 2 4" xfId="25778"/>
    <cellStyle name="Normal 14 6 4 3" xfId="25779"/>
    <cellStyle name="Normal 14 6 4 4" xfId="25780"/>
    <cellStyle name="Normal 14 6 4 5" xfId="25781"/>
    <cellStyle name="Normal 14 6 5" xfId="1934"/>
    <cellStyle name="Normal 14 6 5 2" xfId="25782"/>
    <cellStyle name="Normal 14 6 5 2 2" xfId="25783"/>
    <cellStyle name="Normal 14 6 5 2 3" xfId="25784"/>
    <cellStyle name="Normal 14 6 5 2 4" xfId="25785"/>
    <cellStyle name="Normal 14 6 5 3" xfId="25786"/>
    <cellStyle name="Normal 14 6 5 4" xfId="25787"/>
    <cellStyle name="Normal 14 6 5 5" xfId="25788"/>
    <cellStyle name="Normal 14 6 6" xfId="25789"/>
    <cellStyle name="Normal 14 6 6 2" xfId="25790"/>
    <cellStyle name="Normal 14 6 6 3" xfId="25791"/>
    <cellStyle name="Normal 14 6 6 4" xfId="25792"/>
    <cellStyle name="Normal 14 6 7" xfId="25793"/>
    <cellStyle name="Normal 14 6 8" xfId="25794"/>
    <cellStyle name="Normal 14 6 9" xfId="25795"/>
    <cellStyle name="Normal 14 7" xfId="1935"/>
    <cellStyle name="Normal 14 7 2" xfId="1936"/>
    <cellStyle name="Normal 14 7 2 2" xfId="1937"/>
    <cellStyle name="Normal 14 7 2 2 2" xfId="1938"/>
    <cellStyle name="Normal 14 7 2 2 2 2" xfId="25796"/>
    <cellStyle name="Normal 14 7 2 2 2 2 2" xfId="25797"/>
    <cellStyle name="Normal 14 7 2 2 2 2 3" xfId="25798"/>
    <cellStyle name="Normal 14 7 2 2 2 2 4" xfId="25799"/>
    <cellStyle name="Normal 14 7 2 2 2 3" xfId="25800"/>
    <cellStyle name="Normal 14 7 2 2 2 4" xfId="25801"/>
    <cellStyle name="Normal 14 7 2 2 2 5" xfId="25802"/>
    <cellStyle name="Normal 14 7 2 2 3" xfId="1939"/>
    <cellStyle name="Normal 14 7 2 2 3 2" xfId="25803"/>
    <cellStyle name="Normal 14 7 2 2 3 2 2" xfId="25804"/>
    <cellStyle name="Normal 14 7 2 2 3 2 3" xfId="25805"/>
    <cellStyle name="Normal 14 7 2 2 3 2 4" xfId="25806"/>
    <cellStyle name="Normal 14 7 2 2 3 3" xfId="25807"/>
    <cellStyle name="Normal 14 7 2 2 3 4" xfId="25808"/>
    <cellStyle name="Normal 14 7 2 2 3 5" xfId="25809"/>
    <cellStyle name="Normal 14 7 2 2 4" xfId="25810"/>
    <cellStyle name="Normal 14 7 2 2 4 2" xfId="25811"/>
    <cellStyle name="Normal 14 7 2 2 4 3" xfId="25812"/>
    <cellStyle name="Normal 14 7 2 2 4 4" xfId="25813"/>
    <cellStyle name="Normal 14 7 2 2 5" xfId="25814"/>
    <cellStyle name="Normal 14 7 2 2 6" xfId="25815"/>
    <cellStyle name="Normal 14 7 2 2 7" xfId="25816"/>
    <cellStyle name="Normal 14 7 2 3" xfId="1940"/>
    <cellStyle name="Normal 14 7 2 3 2" xfId="25817"/>
    <cellStyle name="Normal 14 7 2 3 2 2" xfId="25818"/>
    <cellStyle name="Normal 14 7 2 3 2 3" xfId="25819"/>
    <cellStyle name="Normal 14 7 2 3 2 4" xfId="25820"/>
    <cellStyle name="Normal 14 7 2 3 3" xfId="25821"/>
    <cellStyle name="Normal 14 7 2 3 4" xfId="25822"/>
    <cellStyle name="Normal 14 7 2 3 5" xfId="25823"/>
    <cellStyle name="Normal 14 7 2 4" xfId="1941"/>
    <cellStyle name="Normal 14 7 2 4 2" xfId="25824"/>
    <cellStyle name="Normal 14 7 2 4 2 2" xfId="25825"/>
    <cellStyle name="Normal 14 7 2 4 2 3" xfId="25826"/>
    <cellStyle name="Normal 14 7 2 4 2 4" xfId="25827"/>
    <cellStyle name="Normal 14 7 2 4 3" xfId="25828"/>
    <cellStyle name="Normal 14 7 2 4 4" xfId="25829"/>
    <cellStyle name="Normal 14 7 2 4 5" xfId="25830"/>
    <cellStyle name="Normal 14 7 2 5" xfId="25831"/>
    <cellStyle name="Normal 14 7 2 5 2" xfId="25832"/>
    <cellStyle name="Normal 14 7 2 5 3" xfId="25833"/>
    <cellStyle name="Normal 14 7 2 5 4" xfId="25834"/>
    <cellStyle name="Normal 14 7 2 6" xfId="25835"/>
    <cellStyle name="Normal 14 7 2 7" xfId="25836"/>
    <cellStyle name="Normal 14 7 2 8" xfId="25837"/>
    <cellStyle name="Normal 14 7 3" xfId="1942"/>
    <cellStyle name="Normal 14 7 3 2" xfId="1943"/>
    <cellStyle name="Normal 14 7 3 2 2" xfId="25838"/>
    <cellStyle name="Normal 14 7 3 2 2 2" xfId="25839"/>
    <cellStyle name="Normal 14 7 3 2 2 3" xfId="25840"/>
    <cellStyle name="Normal 14 7 3 2 2 4" xfId="25841"/>
    <cellStyle name="Normal 14 7 3 2 3" xfId="25842"/>
    <cellStyle name="Normal 14 7 3 2 4" xfId="25843"/>
    <cellStyle name="Normal 14 7 3 2 5" xfId="25844"/>
    <cellStyle name="Normal 14 7 3 3" xfId="1944"/>
    <cellStyle name="Normal 14 7 3 3 2" xfId="25845"/>
    <cellStyle name="Normal 14 7 3 3 2 2" xfId="25846"/>
    <cellStyle name="Normal 14 7 3 3 2 3" xfId="25847"/>
    <cellStyle name="Normal 14 7 3 3 2 4" xfId="25848"/>
    <cellStyle name="Normal 14 7 3 3 3" xfId="25849"/>
    <cellStyle name="Normal 14 7 3 3 4" xfId="25850"/>
    <cellStyle name="Normal 14 7 3 3 5" xfId="25851"/>
    <cellStyle name="Normal 14 7 3 4" xfId="25852"/>
    <cellStyle name="Normal 14 7 3 4 2" xfId="25853"/>
    <cellStyle name="Normal 14 7 3 4 3" xfId="25854"/>
    <cellStyle name="Normal 14 7 3 4 4" xfId="25855"/>
    <cellStyle name="Normal 14 7 3 5" xfId="25856"/>
    <cellStyle name="Normal 14 7 3 6" xfId="25857"/>
    <cellStyle name="Normal 14 7 3 7" xfId="25858"/>
    <cellStyle name="Normal 14 7 4" xfId="1945"/>
    <cellStyle name="Normal 14 7 4 2" xfId="25859"/>
    <cellStyle name="Normal 14 7 4 2 2" xfId="25860"/>
    <cellStyle name="Normal 14 7 4 2 3" xfId="25861"/>
    <cellStyle name="Normal 14 7 4 2 4" xfId="25862"/>
    <cellStyle name="Normal 14 7 4 3" xfId="25863"/>
    <cellStyle name="Normal 14 7 4 4" xfId="25864"/>
    <cellStyle name="Normal 14 7 4 5" xfId="25865"/>
    <cellStyle name="Normal 14 7 5" xfId="1946"/>
    <cellStyle name="Normal 14 7 5 2" xfId="25866"/>
    <cellStyle name="Normal 14 7 5 2 2" xfId="25867"/>
    <cellStyle name="Normal 14 7 5 2 3" xfId="25868"/>
    <cellStyle name="Normal 14 7 5 2 4" xfId="25869"/>
    <cellStyle name="Normal 14 7 5 3" xfId="25870"/>
    <cellStyle name="Normal 14 7 5 4" xfId="25871"/>
    <cellStyle name="Normal 14 7 5 5" xfId="25872"/>
    <cellStyle name="Normal 14 7 6" xfId="25873"/>
    <cellStyle name="Normal 14 7 6 2" xfId="25874"/>
    <cellStyle name="Normal 14 7 6 3" xfId="25875"/>
    <cellStyle name="Normal 14 7 6 4" xfId="25876"/>
    <cellStyle name="Normal 14 7 7" xfId="25877"/>
    <cellStyle name="Normal 14 7 8" xfId="25878"/>
    <cellStyle name="Normal 14 7 9" xfId="25879"/>
    <cellStyle name="Normal 14 8" xfId="1947"/>
    <cellStyle name="Normal 14 8 2" xfId="1948"/>
    <cellStyle name="Normal 14 8 2 2" xfId="1949"/>
    <cellStyle name="Normal 14 8 2 2 2" xfId="1950"/>
    <cellStyle name="Normal 14 8 2 2 2 2" xfId="25880"/>
    <cellStyle name="Normal 14 8 2 2 2 2 2" xfId="25881"/>
    <cellStyle name="Normal 14 8 2 2 2 2 3" xfId="25882"/>
    <cellStyle name="Normal 14 8 2 2 2 2 4" xfId="25883"/>
    <cellStyle name="Normal 14 8 2 2 2 3" xfId="25884"/>
    <cellStyle name="Normal 14 8 2 2 2 4" xfId="25885"/>
    <cellStyle name="Normal 14 8 2 2 2 5" xfId="25886"/>
    <cellStyle name="Normal 14 8 2 2 3" xfId="1951"/>
    <cellStyle name="Normal 14 8 2 2 3 2" xfId="25887"/>
    <cellStyle name="Normal 14 8 2 2 3 2 2" xfId="25888"/>
    <cellStyle name="Normal 14 8 2 2 3 2 3" xfId="25889"/>
    <cellStyle name="Normal 14 8 2 2 3 2 4" xfId="25890"/>
    <cellStyle name="Normal 14 8 2 2 3 3" xfId="25891"/>
    <cellStyle name="Normal 14 8 2 2 3 4" xfId="25892"/>
    <cellStyle name="Normal 14 8 2 2 3 5" xfId="25893"/>
    <cellStyle name="Normal 14 8 2 2 4" xfId="25894"/>
    <cellStyle name="Normal 14 8 2 2 4 2" xfId="25895"/>
    <cellStyle name="Normal 14 8 2 2 4 3" xfId="25896"/>
    <cellStyle name="Normal 14 8 2 2 4 4" xfId="25897"/>
    <cellStyle name="Normal 14 8 2 2 5" xfId="25898"/>
    <cellStyle name="Normal 14 8 2 2 6" xfId="25899"/>
    <cellStyle name="Normal 14 8 2 2 7" xfId="25900"/>
    <cellStyle name="Normal 14 8 2 3" xfId="1952"/>
    <cellStyle name="Normal 14 8 2 3 2" xfId="25901"/>
    <cellStyle name="Normal 14 8 2 3 2 2" xfId="25902"/>
    <cellStyle name="Normal 14 8 2 3 2 3" xfId="25903"/>
    <cellStyle name="Normal 14 8 2 3 2 4" xfId="25904"/>
    <cellStyle name="Normal 14 8 2 3 3" xfId="25905"/>
    <cellStyle name="Normal 14 8 2 3 4" xfId="25906"/>
    <cellStyle name="Normal 14 8 2 3 5" xfId="25907"/>
    <cellStyle name="Normal 14 8 2 4" xfId="1953"/>
    <cellStyle name="Normal 14 8 2 4 2" xfId="25908"/>
    <cellStyle name="Normal 14 8 2 4 2 2" xfId="25909"/>
    <cellStyle name="Normal 14 8 2 4 2 3" xfId="25910"/>
    <cellStyle name="Normal 14 8 2 4 2 4" xfId="25911"/>
    <cellStyle name="Normal 14 8 2 4 3" xfId="25912"/>
    <cellStyle name="Normal 14 8 2 4 4" xfId="25913"/>
    <cellStyle name="Normal 14 8 2 4 5" xfId="25914"/>
    <cellStyle name="Normal 14 8 2 5" xfId="25915"/>
    <cellStyle name="Normal 14 8 2 5 2" xfId="25916"/>
    <cellStyle name="Normal 14 8 2 5 3" xfId="25917"/>
    <cellStyle name="Normal 14 8 2 5 4" xfId="25918"/>
    <cellStyle name="Normal 14 8 2 6" xfId="25919"/>
    <cellStyle name="Normal 14 8 2 7" xfId="25920"/>
    <cellStyle name="Normal 14 8 2 8" xfId="25921"/>
    <cellStyle name="Normal 14 8 3" xfId="1954"/>
    <cellStyle name="Normal 14 8 3 2" xfId="1955"/>
    <cellStyle name="Normal 14 8 3 2 2" xfId="25922"/>
    <cellStyle name="Normal 14 8 3 2 2 2" xfId="25923"/>
    <cellStyle name="Normal 14 8 3 2 2 3" xfId="25924"/>
    <cellStyle name="Normal 14 8 3 2 2 4" xfId="25925"/>
    <cellStyle name="Normal 14 8 3 2 3" xfId="25926"/>
    <cellStyle name="Normal 14 8 3 2 4" xfId="25927"/>
    <cellStyle name="Normal 14 8 3 2 5" xfId="25928"/>
    <cellStyle name="Normal 14 8 3 3" xfId="1956"/>
    <cellStyle name="Normal 14 8 3 3 2" xfId="25929"/>
    <cellStyle name="Normal 14 8 3 3 2 2" xfId="25930"/>
    <cellStyle name="Normal 14 8 3 3 2 3" xfId="25931"/>
    <cellStyle name="Normal 14 8 3 3 2 4" xfId="25932"/>
    <cellStyle name="Normal 14 8 3 3 3" xfId="25933"/>
    <cellStyle name="Normal 14 8 3 3 4" xfId="25934"/>
    <cellStyle name="Normal 14 8 3 3 5" xfId="25935"/>
    <cellStyle name="Normal 14 8 3 4" xfId="25936"/>
    <cellStyle name="Normal 14 8 3 4 2" xfId="25937"/>
    <cellStyle name="Normal 14 8 3 4 3" xfId="25938"/>
    <cellStyle name="Normal 14 8 3 4 4" xfId="25939"/>
    <cellStyle name="Normal 14 8 3 5" xfId="25940"/>
    <cellStyle name="Normal 14 8 3 6" xfId="25941"/>
    <cellStyle name="Normal 14 8 3 7" xfId="25942"/>
    <cellStyle name="Normal 14 8 4" xfId="1957"/>
    <cellStyle name="Normal 14 8 4 2" xfId="25943"/>
    <cellStyle name="Normal 14 8 4 2 2" xfId="25944"/>
    <cellStyle name="Normal 14 8 4 2 3" xfId="25945"/>
    <cellStyle name="Normal 14 8 4 2 4" xfId="25946"/>
    <cellStyle name="Normal 14 8 4 3" xfId="25947"/>
    <cellStyle name="Normal 14 8 4 4" xfId="25948"/>
    <cellStyle name="Normal 14 8 4 5" xfId="25949"/>
    <cellStyle name="Normal 14 8 5" xfId="1958"/>
    <cellStyle name="Normal 14 8 5 2" xfId="25950"/>
    <cellStyle name="Normal 14 8 5 2 2" xfId="25951"/>
    <cellStyle name="Normal 14 8 5 2 3" xfId="25952"/>
    <cellStyle name="Normal 14 8 5 2 4" xfId="25953"/>
    <cellStyle name="Normal 14 8 5 3" xfId="25954"/>
    <cellStyle name="Normal 14 8 5 4" xfId="25955"/>
    <cellStyle name="Normal 14 8 5 5" xfId="25956"/>
    <cellStyle name="Normal 14 8 6" xfId="25957"/>
    <cellStyle name="Normal 14 8 6 2" xfId="25958"/>
    <cellStyle name="Normal 14 8 6 3" xfId="25959"/>
    <cellStyle name="Normal 14 8 6 4" xfId="25960"/>
    <cellStyle name="Normal 14 8 7" xfId="25961"/>
    <cellStyle name="Normal 14 8 8" xfId="25962"/>
    <cellStyle name="Normal 14 8 9" xfId="25963"/>
    <cellStyle name="Normal 14 9" xfId="1959"/>
    <cellStyle name="Normal 14 9 2" xfId="1960"/>
    <cellStyle name="Normal 14 9 2 2" xfId="1961"/>
    <cellStyle name="Normal 14 9 2 2 2" xfId="1962"/>
    <cellStyle name="Normal 14 9 2 2 2 2" xfId="25964"/>
    <cellStyle name="Normal 14 9 2 2 2 2 2" xfId="25965"/>
    <cellStyle name="Normal 14 9 2 2 2 2 3" xfId="25966"/>
    <cellStyle name="Normal 14 9 2 2 2 2 4" xfId="25967"/>
    <cellStyle name="Normal 14 9 2 2 2 3" xfId="25968"/>
    <cellStyle name="Normal 14 9 2 2 2 4" xfId="25969"/>
    <cellStyle name="Normal 14 9 2 2 2 5" xfId="25970"/>
    <cellStyle name="Normal 14 9 2 2 3" xfId="1963"/>
    <cellStyle name="Normal 14 9 2 2 3 2" xfId="25971"/>
    <cellStyle name="Normal 14 9 2 2 3 2 2" xfId="25972"/>
    <cellStyle name="Normal 14 9 2 2 3 2 3" xfId="25973"/>
    <cellStyle name="Normal 14 9 2 2 3 2 4" xfId="25974"/>
    <cellStyle name="Normal 14 9 2 2 3 3" xfId="25975"/>
    <cellStyle name="Normal 14 9 2 2 3 4" xfId="25976"/>
    <cellStyle name="Normal 14 9 2 2 3 5" xfId="25977"/>
    <cellStyle name="Normal 14 9 2 2 4" xfId="25978"/>
    <cellStyle name="Normal 14 9 2 2 4 2" xfId="25979"/>
    <cellStyle name="Normal 14 9 2 2 4 3" xfId="25980"/>
    <cellStyle name="Normal 14 9 2 2 4 4" xfId="25981"/>
    <cellStyle name="Normal 14 9 2 2 5" xfId="25982"/>
    <cellStyle name="Normal 14 9 2 2 6" xfId="25983"/>
    <cellStyle name="Normal 14 9 2 2 7" xfId="25984"/>
    <cellStyle name="Normal 14 9 2 3" xfId="1964"/>
    <cellStyle name="Normal 14 9 2 3 2" xfId="25985"/>
    <cellStyle name="Normal 14 9 2 3 2 2" xfId="25986"/>
    <cellStyle name="Normal 14 9 2 3 2 3" xfId="25987"/>
    <cellStyle name="Normal 14 9 2 3 2 4" xfId="25988"/>
    <cellStyle name="Normal 14 9 2 3 3" xfId="25989"/>
    <cellStyle name="Normal 14 9 2 3 4" xfId="25990"/>
    <cellStyle name="Normal 14 9 2 3 5" xfId="25991"/>
    <cellStyle name="Normal 14 9 2 4" xfId="1965"/>
    <cellStyle name="Normal 14 9 2 4 2" xfId="25992"/>
    <cellStyle name="Normal 14 9 2 4 2 2" xfId="25993"/>
    <cellStyle name="Normal 14 9 2 4 2 3" xfId="25994"/>
    <cellStyle name="Normal 14 9 2 4 2 4" xfId="25995"/>
    <cellStyle name="Normal 14 9 2 4 3" xfId="25996"/>
    <cellStyle name="Normal 14 9 2 4 4" xfId="25997"/>
    <cellStyle name="Normal 14 9 2 4 5" xfId="25998"/>
    <cellStyle name="Normal 14 9 2 5" xfId="25999"/>
    <cellStyle name="Normal 14 9 2 5 2" xfId="26000"/>
    <cellStyle name="Normal 14 9 2 5 3" xfId="26001"/>
    <cellStyle name="Normal 14 9 2 5 4" xfId="26002"/>
    <cellStyle name="Normal 14 9 2 6" xfId="26003"/>
    <cellStyle name="Normal 14 9 2 7" xfId="26004"/>
    <cellStyle name="Normal 14 9 2 8" xfId="26005"/>
    <cellStyle name="Normal 14 9 3" xfId="1966"/>
    <cellStyle name="Normal 14 9 3 2" xfId="1967"/>
    <cellStyle name="Normal 14 9 3 2 2" xfId="26006"/>
    <cellStyle name="Normal 14 9 3 2 2 2" xfId="26007"/>
    <cellStyle name="Normal 14 9 3 2 2 3" xfId="26008"/>
    <cellStyle name="Normal 14 9 3 2 2 4" xfId="26009"/>
    <cellStyle name="Normal 14 9 3 2 3" xfId="26010"/>
    <cellStyle name="Normal 14 9 3 2 4" xfId="26011"/>
    <cellStyle name="Normal 14 9 3 2 5" xfId="26012"/>
    <cellStyle name="Normal 14 9 3 3" xfId="1968"/>
    <cellStyle name="Normal 14 9 3 3 2" xfId="26013"/>
    <cellStyle name="Normal 14 9 3 3 2 2" xfId="26014"/>
    <cellStyle name="Normal 14 9 3 3 2 3" xfId="26015"/>
    <cellStyle name="Normal 14 9 3 3 2 4" xfId="26016"/>
    <cellStyle name="Normal 14 9 3 3 3" xfId="26017"/>
    <cellStyle name="Normal 14 9 3 3 4" xfId="26018"/>
    <cellStyle name="Normal 14 9 3 3 5" xfId="26019"/>
    <cellStyle name="Normal 14 9 3 4" xfId="26020"/>
    <cellStyle name="Normal 14 9 3 4 2" xfId="26021"/>
    <cellStyle name="Normal 14 9 3 4 3" xfId="26022"/>
    <cellStyle name="Normal 14 9 3 4 4" xfId="26023"/>
    <cellStyle name="Normal 14 9 3 5" xfId="26024"/>
    <cellStyle name="Normal 14 9 3 6" xfId="26025"/>
    <cellStyle name="Normal 14 9 3 7" xfId="26026"/>
    <cellStyle name="Normal 14 9 4" xfId="1969"/>
    <cellStyle name="Normal 14 9 4 2" xfId="26027"/>
    <cellStyle name="Normal 14 9 4 2 2" xfId="26028"/>
    <cellStyle name="Normal 14 9 4 2 3" xfId="26029"/>
    <cellStyle name="Normal 14 9 4 2 4" xfId="26030"/>
    <cellStyle name="Normal 14 9 4 3" xfId="26031"/>
    <cellStyle name="Normal 14 9 4 4" xfId="26032"/>
    <cellStyle name="Normal 14 9 4 5" xfId="26033"/>
    <cellStyle name="Normal 14 9 5" xfId="1970"/>
    <cellStyle name="Normal 14 9 5 2" xfId="26034"/>
    <cellStyle name="Normal 14 9 5 2 2" xfId="26035"/>
    <cellStyle name="Normal 14 9 5 2 3" xfId="26036"/>
    <cellStyle name="Normal 14 9 5 2 4" xfId="26037"/>
    <cellStyle name="Normal 14 9 5 3" xfId="26038"/>
    <cellStyle name="Normal 14 9 5 4" xfId="26039"/>
    <cellStyle name="Normal 14 9 5 5" xfId="26040"/>
    <cellStyle name="Normal 14 9 6" xfId="26041"/>
    <cellStyle name="Normal 14 9 6 2" xfId="26042"/>
    <cellStyle name="Normal 14 9 6 3" xfId="26043"/>
    <cellStyle name="Normal 14 9 6 4" xfId="26044"/>
    <cellStyle name="Normal 14 9 7" xfId="26045"/>
    <cellStyle name="Normal 14 9 8" xfId="26046"/>
    <cellStyle name="Normal 14 9 9" xfId="26047"/>
    <cellStyle name="Normal 140" xfId="1971"/>
    <cellStyle name="Normal 140 2" xfId="1972"/>
    <cellStyle name="Normal 140 2 2" xfId="1973"/>
    <cellStyle name="Normal 140 2 2 2" xfId="1974"/>
    <cellStyle name="Normal 140 2 2 2 2" xfId="26048"/>
    <cellStyle name="Normal 140 2 2 2 2 2" xfId="26049"/>
    <cellStyle name="Normal 140 2 2 2 2 3" xfId="26050"/>
    <cellStyle name="Normal 140 2 2 2 2 4" xfId="26051"/>
    <cellStyle name="Normal 140 2 2 2 3" xfId="26052"/>
    <cellStyle name="Normal 140 2 2 2 4" xfId="26053"/>
    <cellStyle name="Normal 140 2 2 2 5" xfId="26054"/>
    <cellStyle name="Normal 140 2 2 3" xfId="1975"/>
    <cellStyle name="Normal 140 2 2 3 2" xfId="26055"/>
    <cellStyle name="Normal 140 2 2 3 2 2" xfId="26056"/>
    <cellStyle name="Normal 140 2 2 3 2 3" xfId="26057"/>
    <cellStyle name="Normal 140 2 2 3 2 4" xfId="26058"/>
    <cellStyle name="Normal 140 2 2 3 3" xfId="26059"/>
    <cellStyle name="Normal 140 2 2 3 4" xfId="26060"/>
    <cellStyle name="Normal 140 2 2 3 5" xfId="26061"/>
    <cellStyle name="Normal 140 2 2 4" xfId="26062"/>
    <cellStyle name="Normal 140 2 2 4 2" xfId="26063"/>
    <cellStyle name="Normal 140 2 2 4 3" xfId="26064"/>
    <cellStyle name="Normal 140 2 2 4 4" xfId="26065"/>
    <cellStyle name="Normal 140 2 2 5" xfId="26066"/>
    <cellStyle name="Normal 140 2 2 6" xfId="26067"/>
    <cellStyle name="Normal 140 2 2 7" xfId="26068"/>
    <cellStyle name="Normal 140 2 3" xfId="1976"/>
    <cellStyle name="Normal 140 2 3 2" xfId="26069"/>
    <cellStyle name="Normal 140 2 3 2 2" xfId="26070"/>
    <cellStyle name="Normal 140 2 3 2 3" xfId="26071"/>
    <cellStyle name="Normal 140 2 3 2 4" xfId="26072"/>
    <cellStyle name="Normal 140 2 3 3" xfId="26073"/>
    <cellStyle name="Normal 140 2 3 4" xfId="26074"/>
    <cellStyle name="Normal 140 2 3 5" xfId="26075"/>
    <cellStyle name="Normal 140 2 4" xfId="1977"/>
    <cellStyle name="Normal 140 2 4 2" xfId="26076"/>
    <cellStyle name="Normal 140 2 4 2 2" xfId="26077"/>
    <cellStyle name="Normal 140 2 4 2 3" xfId="26078"/>
    <cellStyle name="Normal 140 2 4 2 4" xfId="26079"/>
    <cellStyle name="Normal 140 2 4 3" xfId="26080"/>
    <cellStyle name="Normal 140 2 4 4" xfId="26081"/>
    <cellStyle name="Normal 140 2 4 5" xfId="26082"/>
    <cellStyle name="Normal 140 2 5" xfId="26083"/>
    <cellStyle name="Normal 140 2 5 2" xfId="26084"/>
    <cellStyle name="Normal 140 2 5 3" xfId="26085"/>
    <cellStyle name="Normal 140 2 5 4" xfId="26086"/>
    <cellStyle name="Normal 140 2 6" xfId="26087"/>
    <cellStyle name="Normal 140 2 7" xfId="26088"/>
    <cellStyle name="Normal 140 2 8" xfId="26089"/>
    <cellStyle name="Normal 140 3" xfId="1978"/>
    <cellStyle name="Normal 140 3 2" xfId="1979"/>
    <cellStyle name="Normal 140 3 2 2" xfId="26090"/>
    <cellStyle name="Normal 140 3 2 2 2" xfId="26091"/>
    <cellStyle name="Normal 140 3 2 2 3" xfId="26092"/>
    <cellStyle name="Normal 140 3 2 2 4" xfId="26093"/>
    <cellStyle name="Normal 140 3 2 3" xfId="26094"/>
    <cellStyle name="Normal 140 3 2 4" xfId="26095"/>
    <cellStyle name="Normal 140 3 2 5" xfId="26096"/>
    <cellStyle name="Normal 140 3 3" xfId="1980"/>
    <cellStyle name="Normal 140 3 3 2" xfId="26097"/>
    <cellStyle name="Normal 140 3 3 2 2" xfId="26098"/>
    <cellStyle name="Normal 140 3 3 2 3" xfId="26099"/>
    <cellStyle name="Normal 140 3 3 2 4" xfId="26100"/>
    <cellStyle name="Normal 140 3 3 3" xfId="26101"/>
    <cellStyle name="Normal 140 3 3 4" xfId="26102"/>
    <cellStyle name="Normal 140 3 3 5" xfId="26103"/>
    <cellStyle name="Normal 140 3 4" xfId="26104"/>
    <cellStyle name="Normal 140 3 4 2" xfId="26105"/>
    <cellStyle name="Normal 140 3 4 3" xfId="26106"/>
    <cellStyle name="Normal 140 3 4 4" xfId="26107"/>
    <cellStyle name="Normal 140 3 5" xfId="26108"/>
    <cellStyle name="Normal 140 3 6" xfId="26109"/>
    <cellStyle name="Normal 140 3 7" xfId="26110"/>
    <cellStyle name="Normal 140 4" xfId="1981"/>
    <cellStyle name="Normal 140 4 2" xfId="26111"/>
    <cellStyle name="Normal 140 4 2 2" xfId="26112"/>
    <cellStyle name="Normal 140 4 2 3" xfId="26113"/>
    <cellStyle name="Normal 140 4 2 4" xfId="26114"/>
    <cellStyle name="Normal 140 4 3" xfId="26115"/>
    <cellStyle name="Normal 140 4 4" xfId="26116"/>
    <cellStyle name="Normal 140 4 5" xfId="26117"/>
    <cellStyle name="Normal 140 5" xfId="1982"/>
    <cellStyle name="Normal 140 5 2" xfId="26118"/>
    <cellStyle name="Normal 140 5 2 2" xfId="26119"/>
    <cellStyle name="Normal 140 5 2 3" xfId="26120"/>
    <cellStyle name="Normal 140 5 2 4" xfId="26121"/>
    <cellStyle name="Normal 140 5 3" xfId="26122"/>
    <cellStyle name="Normal 140 5 4" xfId="26123"/>
    <cellStyle name="Normal 140 5 5" xfId="26124"/>
    <cellStyle name="Normal 140 6" xfId="26125"/>
    <cellStyle name="Normal 140 6 2" xfId="26126"/>
    <cellStyle name="Normal 140 6 3" xfId="26127"/>
    <cellStyle name="Normal 140 6 4" xfId="26128"/>
    <cellStyle name="Normal 140 7" xfId="26129"/>
    <cellStyle name="Normal 140 8" xfId="26130"/>
    <cellStyle name="Normal 140 9" xfId="26131"/>
    <cellStyle name="Normal 15" xfId="1983"/>
    <cellStyle name="Normal 15 10" xfId="1984"/>
    <cellStyle name="Normal 15 10 2" xfId="1985"/>
    <cellStyle name="Normal 15 10 2 2" xfId="1986"/>
    <cellStyle name="Normal 15 10 2 2 2" xfId="1987"/>
    <cellStyle name="Normal 15 10 2 2 2 2" xfId="26132"/>
    <cellStyle name="Normal 15 10 2 2 2 2 2" xfId="26133"/>
    <cellStyle name="Normal 15 10 2 2 2 2 3" xfId="26134"/>
    <cellStyle name="Normal 15 10 2 2 2 2 4" xfId="26135"/>
    <cellStyle name="Normal 15 10 2 2 2 3" xfId="26136"/>
    <cellStyle name="Normal 15 10 2 2 2 4" xfId="26137"/>
    <cellStyle name="Normal 15 10 2 2 2 5" xfId="26138"/>
    <cellStyle name="Normal 15 10 2 2 3" xfId="1988"/>
    <cellStyle name="Normal 15 10 2 2 3 2" xfId="26139"/>
    <cellStyle name="Normal 15 10 2 2 3 2 2" xfId="26140"/>
    <cellStyle name="Normal 15 10 2 2 3 2 3" xfId="26141"/>
    <cellStyle name="Normal 15 10 2 2 3 2 4" xfId="26142"/>
    <cellStyle name="Normal 15 10 2 2 3 3" xfId="26143"/>
    <cellStyle name="Normal 15 10 2 2 3 4" xfId="26144"/>
    <cellStyle name="Normal 15 10 2 2 3 5" xfId="26145"/>
    <cellStyle name="Normal 15 10 2 2 4" xfId="26146"/>
    <cellStyle name="Normal 15 10 2 2 4 2" xfId="26147"/>
    <cellStyle name="Normal 15 10 2 2 4 3" xfId="26148"/>
    <cellStyle name="Normal 15 10 2 2 4 4" xfId="26149"/>
    <cellStyle name="Normal 15 10 2 2 5" xfId="26150"/>
    <cellStyle name="Normal 15 10 2 2 6" xfId="26151"/>
    <cellStyle name="Normal 15 10 2 2 7" xfId="26152"/>
    <cellStyle name="Normal 15 10 2 3" xfId="1989"/>
    <cellStyle name="Normal 15 10 2 3 2" xfId="26153"/>
    <cellStyle name="Normal 15 10 2 3 2 2" xfId="26154"/>
    <cellStyle name="Normal 15 10 2 3 2 3" xfId="26155"/>
    <cellStyle name="Normal 15 10 2 3 2 4" xfId="26156"/>
    <cellStyle name="Normal 15 10 2 3 3" xfId="26157"/>
    <cellStyle name="Normal 15 10 2 3 4" xfId="26158"/>
    <cellStyle name="Normal 15 10 2 3 5" xfId="26159"/>
    <cellStyle name="Normal 15 10 2 4" xfId="1990"/>
    <cellStyle name="Normal 15 10 2 4 2" xfId="26160"/>
    <cellStyle name="Normal 15 10 2 4 2 2" xfId="26161"/>
    <cellStyle name="Normal 15 10 2 4 2 3" xfId="26162"/>
    <cellStyle name="Normal 15 10 2 4 2 4" xfId="26163"/>
    <cellStyle name="Normal 15 10 2 4 3" xfId="26164"/>
    <cellStyle name="Normal 15 10 2 4 4" xfId="26165"/>
    <cellStyle name="Normal 15 10 2 4 5" xfId="26166"/>
    <cellStyle name="Normal 15 10 2 5" xfId="26167"/>
    <cellStyle name="Normal 15 10 2 5 2" xfId="26168"/>
    <cellStyle name="Normal 15 10 2 5 3" xfId="26169"/>
    <cellStyle name="Normal 15 10 2 5 4" xfId="26170"/>
    <cellStyle name="Normal 15 10 2 6" xfId="26171"/>
    <cellStyle name="Normal 15 10 2 7" xfId="26172"/>
    <cellStyle name="Normal 15 10 2 8" xfId="26173"/>
    <cellStyle name="Normal 15 10 3" xfId="1991"/>
    <cellStyle name="Normal 15 10 3 2" xfId="1992"/>
    <cellStyle name="Normal 15 10 3 2 2" xfId="26174"/>
    <cellStyle name="Normal 15 10 3 2 2 2" xfId="26175"/>
    <cellStyle name="Normal 15 10 3 2 2 3" xfId="26176"/>
    <cellStyle name="Normal 15 10 3 2 2 4" xfId="26177"/>
    <cellStyle name="Normal 15 10 3 2 3" xfId="26178"/>
    <cellStyle name="Normal 15 10 3 2 4" xfId="26179"/>
    <cellStyle name="Normal 15 10 3 2 5" xfId="26180"/>
    <cellStyle name="Normal 15 10 3 3" xfId="1993"/>
    <cellStyle name="Normal 15 10 3 3 2" xfId="26181"/>
    <cellStyle name="Normal 15 10 3 3 2 2" xfId="26182"/>
    <cellStyle name="Normal 15 10 3 3 2 3" xfId="26183"/>
    <cellStyle name="Normal 15 10 3 3 2 4" xfId="26184"/>
    <cellStyle name="Normal 15 10 3 3 3" xfId="26185"/>
    <cellStyle name="Normal 15 10 3 3 4" xfId="26186"/>
    <cellStyle name="Normal 15 10 3 3 5" xfId="26187"/>
    <cellStyle name="Normal 15 10 3 4" xfId="26188"/>
    <cellStyle name="Normal 15 10 3 4 2" xfId="26189"/>
    <cellStyle name="Normal 15 10 3 4 3" xfId="26190"/>
    <cellStyle name="Normal 15 10 3 4 4" xfId="26191"/>
    <cellStyle name="Normal 15 10 3 5" xfId="26192"/>
    <cellStyle name="Normal 15 10 3 6" xfId="26193"/>
    <cellStyle name="Normal 15 10 3 7" xfId="26194"/>
    <cellStyle name="Normal 15 10 4" xfId="1994"/>
    <cellStyle name="Normal 15 10 4 2" xfId="26195"/>
    <cellStyle name="Normal 15 10 4 2 2" xfId="26196"/>
    <cellStyle name="Normal 15 10 4 2 3" xfId="26197"/>
    <cellStyle name="Normal 15 10 4 2 4" xfId="26198"/>
    <cellStyle name="Normal 15 10 4 3" xfId="26199"/>
    <cellStyle name="Normal 15 10 4 4" xfId="26200"/>
    <cellStyle name="Normal 15 10 4 5" xfId="26201"/>
    <cellStyle name="Normal 15 10 5" xfId="1995"/>
    <cellStyle name="Normal 15 10 5 2" xfId="26202"/>
    <cellStyle name="Normal 15 10 5 2 2" xfId="26203"/>
    <cellStyle name="Normal 15 10 5 2 3" xfId="26204"/>
    <cellStyle name="Normal 15 10 5 2 4" xfId="26205"/>
    <cellStyle name="Normal 15 10 5 3" xfId="26206"/>
    <cellStyle name="Normal 15 10 5 4" xfId="26207"/>
    <cellStyle name="Normal 15 10 5 5" xfId="26208"/>
    <cellStyle name="Normal 15 10 6" xfId="26209"/>
    <cellStyle name="Normal 15 10 6 2" xfId="26210"/>
    <cellStyle name="Normal 15 10 6 3" xfId="26211"/>
    <cellStyle name="Normal 15 10 6 4" xfId="26212"/>
    <cellStyle name="Normal 15 10 7" xfId="26213"/>
    <cellStyle name="Normal 15 10 8" xfId="26214"/>
    <cellStyle name="Normal 15 10 9" xfId="26215"/>
    <cellStyle name="Normal 15 11" xfId="1996"/>
    <cellStyle name="Normal 15 11 2" xfId="1997"/>
    <cellStyle name="Normal 15 11 2 2" xfId="1998"/>
    <cellStyle name="Normal 15 11 2 2 2" xfId="1999"/>
    <cellStyle name="Normal 15 11 2 2 2 2" xfId="26216"/>
    <cellStyle name="Normal 15 11 2 2 2 2 2" xfId="26217"/>
    <cellStyle name="Normal 15 11 2 2 2 2 3" xfId="26218"/>
    <cellStyle name="Normal 15 11 2 2 2 2 4" xfId="26219"/>
    <cellStyle name="Normal 15 11 2 2 2 3" xfId="26220"/>
    <cellStyle name="Normal 15 11 2 2 2 4" xfId="26221"/>
    <cellStyle name="Normal 15 11 2 2 2 5" xfId="26222"/>
    <cellStyle name="Normal 15 11 2 2 3" xfId="2000"/>
    <cellStyle name="Normal 15 11 2 2 3 2" xfId="26223"/>
    <cellStyle name="Normal 15 11 2 2 3 2 2" xfId="26224"/>
    <cellStyle name="Normal 15 11 2 2 3 2 3" xfId="26225"/>
    <cellStyle name="Normal 15 11 2 2 3 2 4" xfId="26226"/>
    <cellStyle name="Normal 15 11 2 2 3 3" xfId="26227"/>
    <cellStyle name="Normal 15 11 2 2 3 4" xfId="26228"/>
    <cellStyle name="Normal 15 11 2 2 3 5" xfId="26229"/>
    <cellStyle name="Normal 15 11 2 2 4" xfId="26230"/>
    <cellStyle name="Normal 15 11 2 2 4 2" xfId="26231"/>
    <cellStyle name="Normal 15 11 2 2 4 3" xfId="26232"/>
    <cellStyle name="Normal 15 11 2 2 4 4" xfId="26233"/>
    <cellStyle name="Normal 15 11 2 2 5" xfId="26234"/>
    <cellStyle name="Normal 15 11 2 2 6" xfId="26235"/>
    <cellStyle name="Normal 15 11 2 2 7" xfId="26236"/>
    <cellStyle name="Normal 15 11 2 3" xfId="2001"/>
    <cellStyle name="Normal 15 11 2 3 2" xfId="26237"/>
    <cellStyle name="Normal 15 11 2 3 2 2" xfId="26238"/>
    <cellStyle name="Normal 15 11 2 3 2 3" xfId="26239"/>
    <cellStyle name="Normal 15 11 2 3 2 4" xfId="26240"/>
    <cellStyle name="Normal 15 11 2 3 3" xfId="26241"/>
    <cellStyle name="Normal 15 11 2 3 4" xfId="26242"/>
    <cellStyle name="Normal 15 11 2 3 5" xfId="26243"/>
    <cellStyle name="Normal 15 11 2 4" xfId="2002"/>
    <cellStyle name="Normal 15 11 2 4 2" xfId="26244"/>
    <cellStyle name="Normal 15 11 2 4 2 2" xfId="26245"/>
    <cellStyle name="Normal 15 11 2 4 2 3" xfId="26246"/>
    <cellStyle name="Normal 15 11 2 4 2 4" xfId="26247"/>
    <cellStyle name="Normal 15 11 2 4 3" xfId="26248"/>
    <cellStyle name="Normal 15 11 2 4 4" xfId="26249"/>
    <cellStyle name="Normal 15 11 2 4 5" xfId="26250"/>
    <cellStyle name="Normal 15 11 2 5" xfId="26251"/>
    <cellStyle name="Normal 15 11 2 5 2" xfId="26252"/>
    <cellStyle name="Normal 15 11 2 5 3" xfId="26253"/>
    <cellStyle name="Normal 15 11 2 5 4" xfId="26254"/>
    <cellStyle name="Normal 15 11 2 6" xfId="26255"/>
    <cellStyle name="Normal 15 11 2 7" xfId="26256"/>
    <cellStyle name="Normal 15 11 2 8" xfId="26257"/>
    <cellStyle name="Normal 15 11 3" xfId="2003"/>
    <cellStyle name="Normal 15 11 3 2" xfId="2004"/>
    <cellStyle name="Normal 15 11 3 2 2" xfId="26258"/>
    <cellStyle name="Normal 15 11 3 2 2 2" xfId="26259"/>
    <cellStyle name="Normal 15 11 3 2 2 3" xfId="26260"/>
    <cellStyle name="Normal 15 11 3 2 2 4" xfId="26261"/>
    <cellStyle name="Normal 15 11 3 2 3" xfId="26262"/>
    <cellStyle name="Normal 15 11 3 2 4" xfId="26263"/>
    <cellStyle name="Normal 15 11 3 2 5" xfId="26264"/>
    <cellStyle name="Normal 15 11 3 3" xfId="2005"/>
    <cellStyle name="Normal 15 11 3 3 2" xfId="26265"/>
    <cellStyle name="Normal 15 11 3 3 2 2" xfId="26266"/>
    <cellStyle name="Normal 15 11 3 3 2 3" xfId="26267"/>
    <cellStyle name="Normal 15 11 3 3 2 4" xfId="26268"/>
    <cellStyle name="Normal 15 11 3 3 3" xfId="26269"/>
    <cellStyle name="Normal 15 11 3 3 4" xfId="26270"/>
    <cellStyle name="Normal 15 11 3 3 5" xfId="26271"/>
    <cellStyle name="Normal 15 11 3 4" xfId="26272"/>
    <cellStyle name="Normal 15 11 3 4 2" xfId="26273"/>
    <cellStyle name="Normal 15 11 3 4 3" xfId="26274"/>
    <cellStyle name="Normal 15 11 3 4 4" xfId="26275"/>
    <cellStyle name="Normal 15 11 3 5" xfId="26276"/>
    <cellStyle name="Normal 15 11 3 6" xfId="26277"/>
    <cellStyle name="Normal 15 11 3 7" xfId="26278"/>
    <cellStyle name="Normal 15 11 4" xfId="2006"/>
    <cellStyle name="Normal 15 11 4 2" xfId="26279"/>
    <cellStyle name="Normal 15 11 4 2 2" xfId="26280"/>
    <cellStyle name="Normal 15 11 4 2 3" xfId="26281"/>
    <cellStyle name="Normal 15 11 4 2 4" xfId="26282"/>
    <cellStyle name="Normal 15 11 4 3" xfId="26283"/>
    <cellStyle name="Normal 15 11 4 4" xfId="26284"/>
    <cellStyle name="Normal 15 11 4 5" xfId="26285"/>
    <cellStyle name="Normal 15 11 5" xfId="2007"/>
    <cellStyle name="Normal 15 11 5 2" xfId="26286"/>
    <cellStyle name="Normal 15 11 5 2 2" xfId="26287"/>
    <cellStyle name="Normal 15 11 5 2 3" xfId="26288"/>
    <cellStyle name="Normal 15 11 5 2 4" xfId="26289"/>
    <cellStyle name="Normal 15 11 5 3" xfId="26290"/>
    <cellStyle name="Normal 15 11 5 4" xfId="26291"/>
    <cellStyle name="Normal 15 11 5 5" xfId="26292"/>
    <cellStyle name="Normal 15 11 6" xfId="26293"/>
    <cellStyle name="Normal 15 11 6 2" xfId="26294"/>
    <cellStyle name="Normal 15 11 6 3" xfId="26295"/>
    <cellStyle name="Normal 15 11 6 4" xfId="26296"/>
    <cellStyle name="Normal 15 11 7" xfId="26297"/>
    <cellStyle name="Normal 15 11 8" xfId="26298"/>
    <cellStyle name="Normal 15 11 9" xfId="26299"/>
    <cellStyle name="Normal 15 12" xfId="2008"/>
    <cellStyle name="Normal 15 12 2" xfId="2009"/>
    <cellStyle name="Normal 15 12 2 2" xfId="2010"/>
    <cellStyle name="Normal 15 12 2 2 2" xfId="2011"/>
    <cellStyle name="Normal 15 12 2 2 2 2" xfId="26300"/>
    <cellStyle name="Normal 15 12 2 2 2 2 2" xfId="26301"/>
    <cellStyle name="Normal 15 12 2 2 2 2 3" xfId="26302"/>
    <cellStyle name="Normal 15 12 2 2 2 2 4" xfId="26303"/>
    <cellStyle name="Normal 15 12 2 2 2 3" xfId="26304"/>
    <cellStyle name="Normal 15 12 2 2 2 4" xfId="26305"/>
    <cellStyle name="Normal 15 12 2 2 2 5" xfId="26306"/>
    <cellStyle name="Normal 15 12 2 2 3" xfId="2012"/>
    <cellStyle name="Normal 15 12 2 2 3 2" xfId="26307"/>
    <cellStyle name="Normal 15 12 2 2 3 2 2" xfId="26308"/>
    <cellStyle name="Normal 15 12 2 2 3 2 3" xfId="26309"/>
    <cellStyle name="Normal 15 12 2 2 3 2 4" xfId="26310"/>
    <cellStyle name="Normal 15 12 2 2 3 3" xfId="26311"/>
    <cellStyle name="Normal 15 12 2 2 3 4" xfId="26312"/>
    <cellStyle name="Normal 15 12 2 2 3 5" xfId="26313"/>
    <cellStyle name="Normal 15 12 2 2 4" xfId="26314"/>
    <cellStyle name="Normal 15 12 2 2 4 2" xfId="26315"/>
    <cellStyle name="Normal 15 12 2 2 4 3" xfId="26316"/>
    <cellStyle name="Normal 15 12 2 2 4 4" xfId="26317"/>
    <cellStyle name="Normal 15 12 2 2 5" xfId="26318"/>
    <cellStyle name="Normal 15 12 2 2 6" xfId="26319"/>
    <cellStyle name="Normal 15 12 2 2 7" xfId="26320"/>
    <cellStyle name="Normal 15 12 2 3" xfId="2013"/>
    <cellStyle name="Normal 15 12 2 3 2" xfId="26321"/>
    <cellStyle name="Normal 15 12 2 3 2 2" xfId="26322"/>
    <cellStyle name="Normal 15 12 2 3 2 3" xfId="26323"/>
    <cellStyle name="Normal 15 12 2 3 2 4" xfId="26324"/>
    <cellStyle name="Normal 15 12 2 3 3" xfId="26325"/>
    <cellStyle name="Normal 15 12 2 3 4" xfId="26326"/>
    <cellStyle name="Normal 15 12 2 3 5" xfId="26327"/>
    <cellStyle name="Normal 15 12 2 4" xfId="2014"/>
    <cellStyle name="Normal 15 12 2 4 2" xfId="26328"/>
    <cellStyle name="Normal 15 12 2 4 2 2" xfId="26329"/>
    <cellStyle name="Normal 15 12 2 4 2 3" xfId="26330"/>
    <cellStyle name="Normal 15 12 2 4 2 4" xfId="26331"/>
    <cellStyle name="Normal 15 12 2 4 3" xfId="26332"/>
    <cellStyle name="Normal 15 12 2 4 4" xfId="26333"/>
    <cellStyle name="Normal 15 12 2 4 5" xfId="26334"/>
    <cellStyle name="Normal 15 12 2 5" xfId="26335"/>
    <cellStyle name="Normal 15 12 2 5 2" xfId="26336"/>
    <cellStyle name="Normal 15 12 2 5 3" xfId="26337"/>
    <cellStyle name="Normal 15 12 2 5 4" xfId="26338"/>
    <cellStyle name="Normal 15 12 2 6" xfId="26339"/>
    <cellStyle name="Normal 15 12 2 7" xfId="26340"/>
    <cellStyle name="Normal 15 12 2 8" xfId="26341"/>
    <cellStyle name="Normal 15 12 3" xfId="2015"/>
    <cellStyle name="Normal 15 12 3 2" xfId="2016"/>
    <cellStyle name="Normal 15 12 3 2 2" xfId="26342"/>
    <cellStyle name="Normal 15 12 3 2 2 2" xfId="26343"/>
    <cellStyle name="Normal 15 12 3 2 2 3" xfId="26344"/>
    <cellStyle name="Normal 15 12 3 2 2 4" xfId="26345"/>
    <cellStyle name="Normal 15 12 3 2 3" xfId="26346"/>
    <cellStyle name="Normal 15 12 3 2 4" xfId="26347"/>
    <cellStyle name="Normal 15 12 3 2 5" xfId="26348"/>
    <cellStyle name="Normal 15 12 3 3" xfId="2017"/>
    <cellStyle name="Normal 15 12 3 3 2" xfId="26349"/>
    <cellStyle name="Normal 15 12 3 3 2 2" xfId="26350"/>
    <cellStyle name="Normal 15 12 3 3 2 3" xfId="26351"/>
    <cellStyle name="Normal 15 12 3 3 2 4" xfId="26352"/>
    <cellStyle name="Normal 15 12 3 3 3" xfId="26353"/>
    <cellStyle name="Normal 15 12 3 3 4" xfId="26354"/>
    <cellStyle name="Normal 15 12 3 3 5" xfId="26355"/>
    <cellStyle name="Normal 15 12 3 4" xfId="26356"/>
    <cellStyle name="Normal 15 12 3 4 2" xfId="26357"/>
    <cellStyle name="Normal 15 12 3 4 3" xfId="26358"/>
    <cellStyle name="Normal 15 12 3 4 4" xfId="26359"/>
    <cellStyle name="Normal 15 12 3 5" xfId="26360"/>
    <cellStyle name="Normal 15 12 3 6" xfId="26361"/>
    <cellStyle name="Normal 15 12 3 7" xfId="26362"/>
    <cellStyle name="Normal 15 12 4" xfId="2018"/>
    <cellStyle name="Normal 15 12 4 2" xfId="26363"/>
    <cellStyle name="Normal 15 12 4 2 2" xfId="26364"/>
    <cellStyle name="Normal 15 12 4 2 3" xfId="26365"/>
    <cellStyle name="Normal 15 12 4 2 4" xfId="26366"/>
    <cellStyle name="Normal 15 12 4 3" xfId="26367"/>
    <cellStyle name="Normal 15 12 4 4" xfId="26368"/>
    <cellStyle name="Normal 15 12 4 5" xfId="26369"/>
    <cellStyle name="Normal 15 12 5" xfId="2019"/>
    <cellStyle name="Normal 15 12 5 2" xfId="26370"/>
    <cellStyle name="Normal 15 12 5 2 2" xfId="26371"/>
    <cellStyle name="Normal 15 12 5 2 3" xfId="26372"/>
    <cellStyle name="Normal 15 12 5 2 4" xfId="26373"/>
    <cellStyle name="Normal 15 12 5 3" xfId="26374"/>
    <cellStyle name="Normal 15 12 5 4" xfId="26375"/>
    <cellStyle name="Normal 15 12 5 5" xfId="26376"/>
    <cellStyle name="Normal 15 12 6" xfId="26377"/>
    <cellStyle name="Normal 15 12 6 2" xfId="26378"/>
    <cellStyle name="Normal 15 12 6 3" xfId="26379"/>
    <cellStyle name="Normal 15 12 6 4" xfId="26380"/>
    <cellStyle name="Normal 15 12 7" xfId="26381"/>
    <cellStyle name="Normal 15 12 8" xfId="26382"/>
    <cellStyle name="Normal 15 12 9" xfId="26383"/>
    <cellStyle name="Normal 15 13" xfId="2020"/>
    <cellStyle name="Normal 15 13 2" xfId="2021"/>
    <cellStyle name="Normal 15 13 2 2" xfId="2022"/>
    <cellStyle name="Normal 15 13 2 2 2" xfId="2023"/>
    <cellStyle name="Normal 15 13 2 2 2 2" xfId="26384"/>
    <cellStyle name="Normal 15 13 2 2 2 2 2" xfId="26385"/>
    <cellStyle name="Normal 15 13 2 2 2 2 3" xfId="26386"/>
    <cellStyle name="Normal 15 13 2 2 2 2 4" xfId="26387"/>
    <cellStyle name="Normal 15 13 2 2 2 3" xfId="26388"/>
    <cellStyle name="Normal 15 13 2 2 2 4" xfId="26389"/>
    <cellStyle name="Normal 15 13 2 2 2 5" xfId="26390"/>
    <cellStyle name="Normal 15 13 2 2 3" xfId="2024"/>
    <cellStyle name="Normal 15 13 2 2 3 2" xfId="26391"/>
    <cellStyle name="Normal 15 13 2 2 3 2 2" xfId="26392"/>
    <cellStyle name="Normal 15 13 2 2 3 2 3" xfId="26393"/>
    <cellStyle name="Normal 15 13 2 2 3 2 4" xfId="26394"/>
    <cellStyle name="Normal 15 13 2 2 3 3" xfId="26395"/>
    <cellStyle name="Normal 15 13 2 2 3 4" xfId="26396"/>
    <cellStyle name="Normal 15 13 2 2 3 5" xfId="26397"/>
    <cellStyle name="Normal 15 13 2 2 4" xfId="26398"/>
    <cellStyle name="Normal 15 13 2 2 4 2" xfId="26399"/>
    <cellStyle name="Normal 15 13 2 2 4 3" xfId="26400"/>
    <cellStyle name="Normal 15 13 2 2 4 4" xfId="26401"/>
    <cellStyle name="Normal 15 13 2 2 5" xfId="26402"/>
    <cellStyle name="Normal 15 13 2 2 6" xfId="26403"/>
    <cellStyle name="Normal 15 13 2 2 7" xfId="26404"/>
    <cellStyle name="Normal 15 13 2 3" xfId="2025"/>
    <cellStyle name="Normal 15 13 2 3 2" xfId="26405"/>
    <cellStyle name="Normal 15 13 2 3 2 2" xfId="26406"/>
    <cellStyle name="Normal 15 13 2 3 2 3" xfId="26407"/>
    <cellStyle name="Normal 15 13 2 3 2 4" xfId="26408"/>
    <cellStyle name="Normal 15 13 2 3 3" xfId="26409"/>
    <cellStyle name="Normal 15 13 2 3 4" xfId="26410"/>
    <cellStyle name="Normal 15 13 2 3 5" xfId="26411"/>
    <cellStyle name="Normal 15 13 2 4" xfId="2026"/>
    <cellStyle name="Normal 15 13 2 4 2" xfId="26412"/>
    <cellStyle name="Normal 15 13 2 4 2 2" xfId="26413"/>
    <cellStyle name="Normal 15 13 2 4 2 3" xfId="26414"/>
    <cellStyle name="Normal 15 13 2 4 2 4" xfId="26415"/>
    <cellStyle name="Normal 15 13 2 4 3" xfId="26416"/>
    <cellStyle name="Normal 15 13 2 4 4" xfId="26417"/>
    <cellStyle name="Normal 15 13 2 4 5" xfId="26418"/>
    <cellStyle name="Normal 15 13 2 5" xfId="26419"/>
    <cellStyle name="Normal 15 13 2 5 2" xfId="26420"/>
    <cellStyle name="Normal 15 13 2 5 3" xfId="26421"/>
    <cellStyle name="Normal 15 13 2 5 4" xfId="26422"/>
    <cellStyle name="Normal 15 13 2 6" xfId="26423"/>
    <cellStyle name="Normal 15 13 2 7" xfId="26424"/>
    <cellStyle name="Normal 15 13 2 8" xfId="26425"/>
    <cellStyle name="Normal 15 13 3" xfId="2027"/>
    <cellStyle name="Normal 15 13 3 2" xfId="2028"/>
    <cellStyle name="Normal 15 13 3 2 2" xfId="26426"/>
    <cellStyle name="Normal 15 13 3 2 2 2" xfId="26427"/>
    <cellStyle name="Normal 15 13 3 2 2 3" xfId="26428"/>
    <cellStyle name="Normal 15 13 3 2 2 4" xfId="26429"/>
    <cellStyle name="Normal 15 13 3 2 3" xfId="26430"/>
    <cellStyle name="Normal 15 13 3 2 4" xfId="26431"/>
    <cellStyle name="Normal 15 13 3 2 5" xfId="26432"/>
    <cellStyle name="Normal 15 13 3 3" xfId="2029"/>
    <cellStyle name="Normal 15 13 3 3 2" xfId="26433"/>
    <cellStyle name="Normal 15 13 3 3 2 2" xfId="26434"/>
    <cellStyle name="Normal 15 13 3 3 2 3" xfId="26435"/>
    <cellStyle name="Normal 15 13 3 3 2 4" xfId="26436"/>
    <cellStyle name="Normal 15 13 3 3 3" xfId="26437"/>
    <cellStyle name="Normal 15 13 3 3 4" xfId="26438"/>
    <cellStyle name="Normal 15 13 3 3 5" xfId="26439"/>
    <cellStyle name="Normal 15 13 3 4" xfId="26440"/>
    <cellStyle name="Normal 15 13 3 4 2" xfId="26441"/>
    <cellStyle name="Normal 15 13 3 4 3" xfId="26442"/>
    <cellStyle name="Normal 15 13 3 4 4" xfId="26443"/>
    <cellStyle name="Normal 15 13 3 5" xfId="26444"/>
    <cellStyle name="Normal 15 13 3 6" xfId="26445"/>
    <cellStyle name="Normal 15 13 3 7" xfId="26446"/>
    <cellStyle name="Normal 15 13 4" xfId="2030"/>
    <cellStyle name="Normal 15 13 4 2" xfId="26447"/>
    <cellStyle name="Normal 15 13 4 2 2" xfId="26448"/>
    <cellStyle name="Normal 15 13 4 2 3" xfId="26449"/>
    <cellStyle name="Normal 15 13 4 2 4" xfId="26450"/>
    <cellStyle name="Normal 15 13 4 3" xfId="26451"/>
    <cellStyle name="Normal 15 13 4 4" xfId="26452"/>
    <cellStyle name="Normal 15 13 4 5" xfId="26453"/>
    <cellStyle name="Normal 15 13 5" xfId="2031"/>
    <cellStyle name="Normal 15 13 5 2" xfId="26454"/>
    <cellStyle name="Normal 15 13 5 2 2" xfId="26455"/>
    <cellStyle name="Normal 15 13 5 2 3" xfId="26456"/>
    <cellStyle name="Normal 15 13 5 2 4" xfId="26457"/>
    <cellStyle name="Normal 15 13 5 3" xfId="26458"/>
    <cellStyle name="Normal 15 13 5 4" xfId="26459"/>
    <cellStyle name="Normal 15 13 5 5" xfId="26460"/>
    <cellStyle name="Normal 15 13 6" xfId="26461"/>
    <cellStyle name="Normal 15 13 6 2" xfId="26462"/>
    <cellStyle name="Normal 15 13 6 3" xfId="26463"/>
    <cellStyle name="Normal 15 13 6 4" xfId="26464"/>
    <cellStyle name="Normal 15 13 7" xfId="26465"/>
    <cellStyle name="Normal 15 13 8" xfId="26466"/>
    <cellStyle name="Normal 15 13 9" xfId="26467"/>
    <cellStyle name="Normal 15 14" xfId="2032"/>
    <cellStyle name="Normal 15 14 2" xfId="2033"/>
    <cellStyle name="Normal 15 14 2 2" xfId="2034"/>
    <cellStyle name="Normal 15 14 2 2 2" xfId="2035"/>
    <cellStyle name="Normal 15 14 2 2 2 2" xfId="26468"/>
    <cellStyle name="Normal 15 14 2 2 2 2 2" xfId="26469"/>
    <cellStyle name="Normal 15 14 2 2 2 2 3" xfId="26470"/>
    <cellStyle name="Normal 15 14 2 2 2 2 4" xfId="26471"/>
    <cellStyle name="Normal 15 14 2 2 2 3" xfId="26472"/>
    <cellStyle name="Normal 15 14 2 2 2 4" xfId="26473"/>
    <cellStyle name="Normal 15 14 2 2 2 5" xfId="26474"/>
    <cellStyle name="Normal 15 14 2 2 3" xfId="2036"/>
    <cellStyle name="Normal 15 14 2 2 3 2" xfId="26475"/>
    <cellStyle name="Normal 15 14 2 2 3 2 2" xfId="26476"/>
    <cellStyle name="Normal 15 14 2 2 3 2 3" xfId="26477"/>
    <cellStyle name="Normal 15 14 2 2 3 2 4" xfId="26478"/>
    <cellStyle name="Normal 15 14 2 2 3 3" xfId="26479"/>
    <cellStyle name="Normal 15 14 2 2 3 4" xfId="26480"/>
    <cellStyle name="Normal 15 14 2 2 3 5" xfId="26481"/>
    <cellStyle name="Normal 15 14 2 2 4" xfId="26482"/>
    <cellStyle name="Normal 15 14 2 2 4 2" xfId="26483"/>
    <cellStyle name="Normal 15 14 2 2 4 3" xfId="26484"/>
    <cellStyle name="Normal 15 14 2 2 4 4" xfId="26485"/>
    <cellStyle name="Normal 15 14 2 2 5" xfId="26486"/>
    <cellStyle name="Normal 15 14 2 2 6" xfId="26487"/>
    <cellStyle name="Normal 15 14 2 2 7" xfId="26488"/>
    <cellStyle name="Normal 15 14 2 3" xfId="2037"/>
    <cellStyle name="Normal 15 14 2 3 2" xfId="26489"/>
    <cellStyle name="Normal 15 14 2 3 2 2" xfId="26490"/>
    <cellStyle name="Normal 15 14 2 3 2 3" xfId="26491"/>
    <cellStyle name="Normal 15 14 2 3 2 4" xfId="26492"/>
    <cellStyle name="Normal 15 14 2 3 3" xfId="26493"/>
    <cellStyle name="Normal 15 14 2 3 4" xfId="26494"/>
    <cellStyle name="Normal 15 14 2 3 5" xfId="26495"/>
    <cellStyle name="Normal 15 14 2 4" xfId="2038"/>
    <cellStyle name="Normal 15 14 2 4 2" xfId="26496"/>
    <cellStyle name="Normal 15 14 2 4 2 2" xfId="26497"/>
    <cellStyle name="Normal 15 14 2 4 2 3" xfId="26498"/>
    <cellStyle name="Normal 15 14 2 4 2 4" xfId="26499"/>
    <cellStyle name="Normal 15 14 2 4 3" xfId="26500"/>
    <cellStyle name="Normal 15 14 2 4 4" xfId="26501"/>
    <cellStyle name="Normal 15 14 2 4 5" xfId="26502"/>
    <cellStyle name="Normal 15 14 2 5" xfId="26503"/>
    <cellStyle name="Normal 15 14 2 5 2" xfId="26504"/>
    <cellStyle name="Normal 15 14 2 5 3" xfId="26505"/>
    <cellStyle name="Normal 15 14 2 5 4" xfId="26506"/>
    <cellStyle name="Normal 15 14 2 6" xfId="26507"/>
    <cellStyle name="Normal 15 14 2 7" xfId="26508"/>
    <cellStyle name="Normal 15 14 2 8" xfId="26509"/>
    <cellStyle name="Normal 15 14 3" xfId="2039"/>
    <cellStyle name="Normal 15 14 3 2" xfId="2040"/>
    <cellStyle name="Normal 15 14 3 2 2" xfId="26510"/>
    <cellStyle name="Normal 15 14 3 2 2 2" xfId="26511"/>
    <cellStyle name="Normal 15 14 3 2 2 3" xfId="26512"/>
    <cellStyle name="Normal 15 14 3 2 2 4" xfId="26513"/>
    <cellStyle name="Normal 15 14 3 2 3" xfId="26514"/>
    <cellStyle name="Normal 15 14 3 2 4" xfId="26515"/>
    <cellStyle name="Normal 15 14 3 2 5" xfId="26516"/>
    <cellStyle name="Normal 15 14 3 3" xfId="2041"/>
    <cellStyle name="Normal 15 14 3 3 2" xfId="26517"/>
    <cellStyle name="Normal 15 14 3 3 2 2" xfId="26518"/>
    <cellStyle name="Normal 15 14 3 3 2 3" xfId="26519"/>
    <cellStyle name="Normal 15 14 3 3 2 4" xfId="26520"/>
    <cellStyle name="Normal 15 14 3 3 3" xfId="26521"/>
    <cellStyle name="Normal 15 14 3 3 4" xfId="26522"/>
    <cellStyle name="Normal 15 14 3 3 5" xfId="26523"/>
    <cellStyle name="Normal 15 14 3 4" xfId="26524"/>
    <cellStyle name="Normal 15 14 3 4 2" xfId="26525"/>
    <cellStyle name="Normal 15 14 3 4 3" xfId="26526"/>
    <cellStyle name="Normal 15 14 3 4 4" xfId="26527"/>
    <cellStyle name="Normal 15 14 3 5" xfId="26528"/>
    <cellStyle name="Normal 15 14 3 6" xfId="26529"/>
    <cellStyle name="Normal 15 14 3 7" xfId="26530"/>
    <cellStyle name="Normal 15 14 4" xfId="2042"/>
    <cellStyle name="Normal 15 14 4 2" xfId="26531"/>
    <cellStyle name="Normal 15 14 4 2 2" xfId="26532"/>
    <cellStyle name="Normal 15 14 4 2 3" xfId="26533"/>
    <cellStyle name="Normal 15 14 4 2 4" xfId="26534"/>
    <cellStyle name="Normal 15 14 4 3" xfId="26535"/>
    <cellStyle name="Normal 15 14 4 4" xfId="26536"/>
    <cellStyle name="Normal 15 14 4 5" xfId="26537"/>
    <cellStyle name="Normal 15 14 5" xfId="2043"/>
    <cellStyle name="Normal 15 14 5 2" xfId="26538"/>
    <cellStyle name="Normal 15 14 5 2 2" xfId="26539"/>
    <cellStyle name="Normal 15 14 5 2 3" xfId="26540"/>
    <cellStyle name="Normal 15 14 5 2 4" xfId="26541"/>
    <cellStyle name="Normal 15 14 5 3" xfId="26542"/>
    <cellStyle name="Normal 15 14 5 4" xfId="26543"/>
    <cellStyle name="Normal 15 14 5 5" xfId="26544"/>
    <cellStyle name="Normal 15 14 6" xfId="26545"/>
    <cellStyle name="Normal 15 14 6 2" xfId="26546"/>
    <cellStyle name="Normal 15 14 6 3" xfId="26547"/>
    <cellStyle name="Normal 15 14 6 4" xfId="26548"/>
    <cellStyle name="Normal 15 14 7" xfId="26549"/>
    <cellStyle name="Normal 15 14 8" xfId="26550"/>
    <cellStyle name="Normal 15 14 9" xfId="26551"/>
    <cellStyle name="Normal 15 15" xfId="2044"/>
    <cellStyle name="Normal 15 15 2" xfId="2045"/>
    <cellStyle name="Normal 15 15 2 2" xfId="2046"/>
    <cellStyle name="Normal 15 15 2 2 2" xfId="2047"/>
    <cellStyle name="Normal 15 15 2 2 2 2" xfId="26552"/>
    <cellStyle name="Normal 15 15 2 2 2 2 2" xfId="26553"/>
    <cellStyle name="Normal 15 15 2 2 2 2 3" xfId="26554"/>
    <cellStyle name="Normal 15 15 2 2 2 2 4" xfId="26555"/>
    <cellStyle name="Normal 15 15 2 2 2 3" xfId="26556"/>
    <cellStyle name="Normal 15 15 2 2 2 4" xfId="26557"/>
    <cellStyle name="Normal 15 15 2 2 2 5" xfId="26558"/>
    <cellStyle name="Normal 15 15 2 2 3" xfId="2048"/>
    <cellStyle name="Normal 15 15 2 2 3 2" xfId="26559"/>
    <cellStyle name="Normal 15 15 2 2 3 2 2" xfId="26560"/>
    <cellStyle name="Normal 15 15 2 2 3 2 3" xfId="26561"/>
    <cellStyle name="Normal 15 15 2 2 3 2 4" xfId="26562"/>
    <cellStyle name="Normal 15 15 2 2 3 3" xfId="26563"/>
    <cellStyle name="Normal 15 15 2 2 3 4" xfId="26564"/>
    <cellStyle name="Normal 15 15 2 2 3 5" xfId="26565"/>
    <cellStyle name="Normal 15 15 2 2 4" xfId="26566"/>
    <cellStyle name="Normal 15 15 2 2 4 2" xfId="26567"/>
    <cellStyle name="Normal 15 15 2 2 4 3" xfId="26568"/>
    <cellStyle name="Normal 15 15 2 2 4 4" xfId="26569"/>
    <cellStyle name="Normal 15 15 2 2 5" xfId="26570"/>
    <cellStyle name="Normal 15 15 2 2 6" xfId="26571"/>
    <cellStyle name="Normal 15 15 2 2 7" xfId="26572"/>
    <cellStyle name="Normal 15 15 2 3" xfId="2049"/>
    <cellStyle name="Normal 15 15 2 3 2" xfId="26573"/>
    <cellStyle name="Normal 15 15 2 3 2 2" xfId="26574"/>
    <cellStyle name="Normal 15 15 2 3 2 3" xfId="26575"/>
    <cellStyle name="Normal 15 15 2 3 2 4" xfId="26576"/>
    <cellStyle name="Normal 15 15 2 3 3" xfId="26577"/>
    <cellStyle name="Normal 15 15 2 3 4" xfId="26578"/>
    <cellStyle name="Normal 15 15 2 3 5" xfId="26579"/>
    <cellStyle name="Normal 15 15 2 4" xfId="2050"/>
    <cellStyle name="Normal 15 15 2 4 2" xfId="26580"/>
    <cellStyle name="Normal 15 15 2 4 2 2" xfId="26581"/>
    <cellStyle name="Normal 15 15 2 4 2 3" xfId="26582"/>
    <cellStyle name="Normal 15 15 2 4 2 4" xfId="26583"/>
    <cellStyle name="Normal 15 15 2 4 3" xfId="26584"/>
    <cellStyle name="Normal 15 15 2 4 4" xfId="26585"/>
    <cellStyle name="Normal 15 15 2 4 5" xfId="26586"/>
    <cellStyle name="Normal 15 15 2 5" xfId="26587"/>
    <cellStyle name="Normal 15 15 2 5 2" xfId="26588"/>
    <cellStyle name="Normal 15 15 2 5 3" xfId="26589"/>
    <cellStyle name="Normal 15 15 2 5 4" xfId="26590"/>
    <cellStyle name="Normal 15 15 2 6" xfId="26591"/>
    <cellStyle name="Normal 15 15 2 7" xfId="26592"/>
    <cellStyle name="Normal 15 15 2 8" xfId="26593"/>
    <cellStyle name="Normal 15 15 3" xfId="2051"/>
    <cellStyle name="Normal 15 15 3 2" xfId="2052"/>
    <cellStyle name="Normal 15 15 3 2 2" xfId="26594"/>
    <cellStyle name="Normal 15 15 3 2 2 2" xfId="26595"/>
    <cellStyle name="Normal 15 15 3 2 2 3" xfId="26596"/>
    <cellStyle name="Normal 15 15 3 2 2 4" xfId="26597"/>
    <cellStyle name="Normal 15 15 3 2 3" xfId="26598"/>
    <cellStyle name="Normal 15 15 3 2 4" xfId="26599"/>
    <cellStyle name="Normal 15 15 3 2 5" xfId="26600"/>
    <cellStyle name="Normal 15 15 3 3" xfId="2053"/>
    <cellStyle name="Normal 15 15 3 3 2" xfId="26601"/>
    <cellStyle name="Normal 15 15 3 3 2 2" xfId="26602"/>
    <cellStyle name="Normal 15 15 3 3 2 3" xfId="26603"/>
    <cellStyle name="Normal 15 15 3 3 2 4" xfId="26604"/>
    <cellStyle name="Normal 15 15 3 3 3" xfId="26605"/>
    <cellStyle name="Normal 15 15 3 3 4" xfId="26606"/>
    <cellStyle name="Normal 15 15 3 3 5" xfId="26607"/>
    <cellStyle name="Normal 15 15 3 4" xfId="26608"/>
    <cellStyle name="Normal 15 15 3 4 2" xfId="26609"/>
    <cellStyle name="Normal 15 15 3 4 3" xfId="26610"/>
    <cellStyle name="Normal 15 15 3 4 4" xfId="26611"/>
    <cellStyle name="Normal 15 15 3 5" xfId="26612"/>
    <cellStyle name="Normal 15 15 3 6" xfId="26613"/>
    <cellStyle name="Normal 15 15 3 7" xfId="26614"/>
    <cellStyle name="Normal 15 15 4" xfId="2054"/>
    <cellStyle name="Normal 15 15 4 2" xfId="26615"/>
    <cellStyle name="Normal 15 15 4 2 2" xfId="26616"/>
    <cellStyle name="Normal 15 15 4 2 3" xfId="26617"/>
    <cellStyle name="Normal 15 15 4 2 4" xfId="26618"/>
    <cellStyle name="Normal 15 15 4 3" xfId="26619"/>
    <cellStyle name="Normal 15 15 4 4" xfId="26620"/>
    <cellStyle name="Normal 15 15 4 5" xfId="26621"/>
    <cellStyle name="Normal 15 15 5" xfId="2055"/>
    <cellStyle name="Normal 15 15 5 2" xfId="26622"/>
    <cellStyle name="Normal 15 15 5 2 2" xfId="26623"/>
    <cellStyle name="Normal 15 15 5 2 3" xfId="26624"/>
    <cellStyle name="Normal 15 15 5 2 4" xfId="26625"/>
    <cellStyle name="Normal 15 15 5 3" xfId="26626"/>
    <cellStyle name="Normal 15 15 5 4" xfId="26627"/>
    <cellStyle name="Normal 15 15 5 5" xfId="26628"/>
    <cellStyle name="Normal 15 15 6" xfId="26629"/>
    <cellStyle name="Normal 15 15 6 2" xfId="26630"/>
    <cellStyle name="Normal 15 15 6 3" xfId="26631"/>
    <cellStyle name="Normal 15 15 6 4" xfId="26632"/>
    <cellStyle name="Normal 15 15 7" xfId="26633"/>
    <cellStyle name="Normal 15 15 8" xfId="26634"/>
    <cellStyle name="Normal 15 15 9" xfId="26635"/>
    <cellStyle name="Normal 15 16" xfId="2056"/>
    <cellStyle name="Normal 15 16 2" xfId="2057"/>
    <cellStyle name="Normal 15 16 2 2" xfId="2058"/>
    <cellStyle name="Normal 15 16 2 2 2" xfId="26636"/>
    <cellStyle name="Normal 15 16 2 2 2 2" xfId="26637"/>
    <cellStyle name="Normal 15 16 2 2 2 3" xfId="26638"/>
    <cellStyle name="Normal 15 16 2 2 2 4" xfId="26639"/>
    <cellStyle name="Normal 15 16 2 2 3" xfId="26640"/>
    <cellStyle name="Normal 15 16 2 2 4" xfId="26641"/>
    <cellStyle name="Normal 15 16 2 2 5" xfId="26642"/>
    <cellStyle name="Normal 15 16 2 3" xfId="2059"/>
    <cellStyle name="Normal 15 16 2 3 2" xfId="26643"/>
    <cellStyle name="Normal 15 16 2 3 2 2" xfId="26644"/>
    <cellStyle name="Normal 15 16 2 3 2 3" xfId="26645"/>
    <cellStyle name="Normal 15 16 2 3 2 4" xfId="26646"/>
    <cellStyle name="Normal 15 16 2 3 3" xfId="26647"/>
    <cellStyle name="Normal 15 16 2 3 4" xfId="26648"/>
    <cellStyle name="Normal 15 16 2 3 5" xfId="26649"/>
    <cellStyle name="Normal 15 16 2 4" xfId="26650"/>
    <cellStyle name="Normal 15 16 2 4 2" xfId="26651"/>
    <cellStyle name="Normal 15 16 2 4 3" xfId="26652"/>
    <cellStyle name="Normal 15 16 2 4 4" xfId="26653"/>
    <cellStyle name="Normal 15 16 2 5" xfId="26654"/>
    <cellStyle name="Normal 15 16 2 6" xfId="26655"/>
    <cellStyle name="Normal 15 16 2 7" xfId="26656"/>
    <cellStyle name="Normal 15 16 3" xfId="2060"/>
    <cellStyle name="Normal 15 16 3 2" xfId="26657"/>
    <cellStyle name="Normal 15 16 3 2 2" xfId="26658"/>
    <cellStyle name="Normal 15 16 3 2 3" xfId="26659"/>
    <cellStyle name="Normal 15 16 3 2 4" xfId="26660"/>
    <cellStyle name="Normal 15 16 3 3" xfId="26661"/>
    <cellStyle name="Normal 15 16 3 4" xfId="26662"/>
    <cellStyle name="Normal 15 16 3 5" xfId="26663"/>
    <cellStyle name="Normal 15 16 4" xfId="2061"/>
    <cellStyle name="Normal 15 16 4 2" xfId="26664"/>
    <cellStyle name="Normal 15 16 4 2 2" xfId="26665"/>
    <cellStyle name="Normal 15 16 4 2 3" xfId="26666"/>
    <cellStyle name="Normal 15 16 4 2 4" xfId="26667"/>
    <cellStyle name="Normal 15 16 4 3" xfId="26668"/>
    <cellStyle name="Normal 15 16 4 4" xfId="26669"/>
    <cellStyle name="Normal 15 16 4 5" xfId="26670"/>
    <cellStyle name="Normal 15 16 5" xfId="26671"/>
    <cellStyle name="Normal 15 16 5 2" xfId="26672"/>
    <cellStyle name="Normal 15 16 5 3" xfId="26673"/>
    <cellStyle name="Normal 15 16 5 4" xfId="26674"/>
    <cellStyle name="Normal 15 16 6" xfId="26675"/>
    <cellStyle name="Normal 15 16 7" xfId="26676"/>
    <cellStyle name="Normal 15 16 8" xfId="26677"/>
    <cellStyle name="Normal 15 17" xfId="2062"/>
    <cellStyle name="Normal 15 17 2" xfId="2063"/>
    <cellStyle name="Normal 15 17 2 2" xfId="26678"/>
    <cellStyle name="Normal 15 17 2 2 2" xfId="26679"/>
    <cellStyle name="Normal 15 17 2 2 3" xfId="26680"/>
    <cellStyle name="Normal 15 17 2 2 4" xfId="26681"/>
    <cellStyle name="Normal 15 17 2 3" xfId="26682"/>
    <cellStyle name="Normal 15 17 2 4" xfId="26683"/>
    <cellStyle name="Normal 15 17 2 5" xfId="26684"/>
    <cellStyle name="Normal 15 17 3" xfId="2064"/>
    <cellStyle name="Normal 15 17 3 2" xfId="26685"/>
    <cellStyle name="Normal 15 17 3 2 2" xfId="26686"/>
    <cellStyle name="Normal 15 17 3 2 3" xfId="26687"/>
    <cellStyle name="Normal 15 17 3 2 4" xfId="26688"/>
    <cellStyle name="Normal 15 17 3 3" xfId="26689"/>
    <cellStyle name="Normal 15 17 3 4" xfId="26690"/>
    <cellStyle name="Normal 15 17 3 5" xfId="26691"/>
    <cellStyle name="Normal 15 17 4" xfId="26692"/>
    <cellStyle name="Normal 15 17 4 2" xfId="26693"/>
    <cellStyle name="Normal 15 17 4 3" xfId="26694"/>
    <cellStyle name="Normal 15 17 4 4" xfId="26695"/>
    <cellStyle name="Normal 15 17 5" xfId="26696"/>
    <cellStyle name="Normal 15 17 6" xfId="26697"/>
    <cellStyle name="Normal 15 17 7" xfId="26698"/>
    <cellStyle name="Normal 15 18" xfId="2065"/>
    <cellStyle name="Normal 15 18 2" xfId="26699"/>
    <cellStyle name="Normal 15 18 2 2" xfId="26700"/>
    <cellStyle name="Normal 15 18 2 3" xfId="26701"/>
    <cellStyle name="Normal 15 18 2 4" xfId="26702"/>
    <cellStyle name="Normal 15 18 3" xfId="26703"/>
    <cellStyle name="Normal 15 18 4" xfId="26704"/>
    <cellStyle name="Normal 15 18 5" xfId="26705"/>
    <cellStyle name="Normal 15 19" xfId="2066"/>
    <cellStyle name="Normal 15 19 2" xfId="26706"/>
    <cellStyle name="Normal 15 19 2 2" xfId="26707"/>
    <cellStyle name="Normal 15 19 2 3" xfId="26708"/>
    <cellStyle name="Normal 15 19 2 4" xfId="26709"/>
    <cellStyle name="Normal 15 19 3" xfId="26710"/>
    <cellStyle name="Normal 15 19 4" xfId="26711"/>
    <cellStyle name="Normal 15 19 5" xfId="26712"/>
    <cellStyle name="Normal 15 2" xfId="2067"/>
    <cellStyle name="Normal 15 2 2" xfId="2068"/>
    <cellStyle name="Normal 15 2 2 2" xfId="2069"/>
    <cellStyle name="Normal 15 2 2 2 2" xfId="2070"/>
    <cellStyle name="Normal 15 2 2 2 2 2" xfId="26713"/>
    <cellStyle name="Normal 15 2 2 2 2 2 2" xfId="26714"/>
    <cellStyle name="Normal 15 2 2 2 2 2 3" xfId="26715"/>
    <cellStyle name="Normal 15 2 2 2 2 2 4" xfId="26716"/>
    <cellStyle name="Normal 15 2 2 2 2 3" xfId="26717"/>
    <cellStyle name="Normal 15 2 2 2 2 4" xfId="26718"/>
    <cellStyle name="Normal 15 2 2 2 2 5" xfId="26719"/>
    <cellStyle name="Normal 15 2 2 2 3" xfId="2071"/>
    <cellStyle name="Normal 15 2 2 2 3 2" xfId="26720"/>
    <cellStyle name="Normal 15 2 2 2 3 2 2" xfId="26721"/>
    <cellStyle name="Normal 15 2 2 2 3 2 3" xfId="26722"/>
    <cellStyle name="Normal 15 2 2 2 3 2 4" xfId="26723"/>
    <cellStyle name="Normal 15 2 2 2 3 3" xfId="26724"/>
    <cellStyle name="Normal 15 2 2 2 3 4" xfId="26725"/>
    <cellStyle name="Normal 15 2 2 2 3 5" xfId="26726"/>
    <cellStyle name="Normal 15 2 2 2 4" xfId="26727"/>
    <cellStyle name="Normal 15 2 2 2 4 2" xfId="26728"/>
    <cellStyle name="Normal 15 2 2 2 4 3" xfId="26729"/>
    <cellStyle name="Normal 15 2 2 2 4 4" xfId="26730"/>
    <cellStyle name="Normal 15 2 2 2 5" xfId="26731"/>
    <cellStyle name="Normal 15 2 2 2 6" xfId="26732"/>
    <cellStyle name="Normal 15 2 2 2 7" xfId="26733"/>
    <cellStyle name="Normal 15 2 2 3" xfId="2072"/>
    <cellStyle name="Normal 15 2 2 3 2" xfId="26734"/>
    <cellStyle name="Normal 15 2 2 3 2 2" xfId="26735"/>
    <cellStyle name="Normal 15 2 2 3 2 3" xfId="26736"/>
    <cellStyle name="Normal 15 2 2 3 2 4" xfId="26737"/>
    <cellStyle name="Normal 15 2 2 3 3" xfId="26738"/>
    <cellStyle name="Normal 15 2 2 3 4" xfId="26739"/>
    <cellStyle name="Normal 15 2 2 3 5" xfId="26740"/>
    <cellStyle name="Normal 15 2 2 4" xfId="2073"/>
    <cellStyle name="Normal 15 2 2 4 2" xfId="26741"/>
    <cellStyle name="Normal 15 2 2 4 2 2" xfId="26742"/>
    <cellStyle name="Normal 15 2 2 4 2 3" xfId="26743"/>
    <cellStyle name="Normal 15 2 2 4 2 4" xfId="26744"/>
    <cellStyle name="Normal 15 2 2 4 3" xfId="26745"/>
    <cellStyle name="Normal 15 2 2 4 4" xfId="26746"/>
    <cellStyle name="Normal 15 2 2 4 5" xfId="26747"/>
    <cellStyle name="Normal 15 2 2 5" xfId="26748"/>
    <cellStyle name="Normal 15 2 2 5 2" xfId="26749"/>
    <cellStyle name="Normal 15 2 2 5 3" xfId="26750"/>
    <cellStyle name="Normal 15 2 2 5 4" xfId="26751"/>
    <cellStyle name="Normal 15 2 2 6" xfId="26752"/>
    <cellStyle name="Normal 15 2 2 7" xfId="26753"/>
    <cellStyle name="Normal 15 2 2 8" xfId="26754"/>
    <cellStyle name="Normal 15 2 3" xfId="2074"/>
    <cellStyle name="Normal 15 2 3 2" xfId="2075"/>
    <cellStyle name="Normal 15 2 3 2 2" xfId="26755"/>
    <cellStyle name="Normal 15 2 3 2 2 2" xfId="26756"/>
    <cellStyle name="Normal 15 2 3 2 2 3" xfId="26757"/>
    <cellStyle name="Normal 15 2 3 2 2 4" xfId="26758"/>
    <cellStyle name="Normal 15 2 3 2 3" xfId="26759"/>
    <cellStyle name="Normal 15 2 3 2 4" xfId="26760"/>
    <cellStyle name="Normal 15 2 3 2 5" xfId="26761"/>
    <cellStyle name="Normal 15 2 3 3" xfId="2076"/>
    <cellStyle name="Normal 15 2 3 3 2" xfId="26762"/>
    <cellStyle name="Normal 15 2 3 3 2 2" xfId="26763"/>
    <cellStyle name="Normal 15 2 3 3 2 3" xfId="26764"/>
    <cellStyle name="Normal 15 2 3 3 2 4" xfId="26765"/>
    <cellStyle name="Normal 15 2 3 3 3" xfId="26766"/>
    <cellStyle name="Normal 15 2 3 3 4" xfId="26767"/>
    <cellStyle name="Normal 15 2 3 3 5" xfId="26768"/>
    <cellStyle name="Normal 15 2 3 4" xfId="26769"/>
    <cellStyle name="Normal 15 2 3 4 2" xfId="26770"/>
    <cellStyle name="Normal 15 2 3 4 3" xfId="26771"/>
    <cellStyle name="Normal 15 2 3 4 4" xfId="26772"/>
    <cellStyle name="Normal 15 2 3 5" xfId="26773"/>
    <cellStyle name="Normal 15 2 3 6" xfId="26774"/>
    <cellStyle name="Normal 15 2 3 7" xfId="26775"/>
    <cellStyle name="Normal 15 2 4" xfId="2077"/>
    <cellStyle name="Normal 15 2 4 2" xfId="26776"/>
    <cellStyle name="Normal 15 2 4 2 2" xfId="26777"/>
    <cellStyle name="Normal 15 2 4 2 3" xfId="26778"/>
    <cellStyle name="Normal 15 2 4 2 4" xfId="26779"/>
    <cellStyle name="Normal 15 2 4 3" xfId="26780"/>
    <cellStyle name="Normal 15 2 4 4" xfId="26781"/>
    <cellStyle name="Normal 15 2 4 5" xfId="26782"/>
    <cellStyle name="Normal 15 2 5" xfId="2078"/>
    <cellStyle name="Normal 15 2 5 2" xfId="26783"/>
    <cellStyle name="Normal 15 2 5 2 2" xfId="26784"/>
    <cellStyle name="Normal 15 2 5 2 3" xfId="26785"/>
    <cellStyle name="Normal 15 2 5 2 4" xfId="26786"/>
    <cellStyle name="Normal 15 2 5 3" xfId="26787"/>
    <cellStyle name="Normal 15 2 5 4" xfId="26788"/>
    <cellStyle name="Normal 15 2 5 5" xfId="26789"/>
    <cellStyle name="Normal 15 2 6" xfId="26790"/>
    <cellStyle name="Normal 15 2 6 2" xfId="26791"/>
    <cellStyle name="Normal 15 2 6 3" xfId="26792"/>
    <cellStyle name="Normal 15 2 6 4" xfId="26793"/>
    <cellStyle name="Normal 15 2 7" xfId="26794"/>
    <cellStyle name="Normal 15 2 8" xfId="26795"/>
    <cellStyle name="Normal 15 2 9" xfId="26796"/>
    <cellStyle name="Normal 15 20" xfId="26797"/>
    <cellStyle name="Normal 15 20 2" xfId="26798"/>
    <cellStyle name="Normal 15 20 3" xfId="26799"/>
    <cellStyle name="Normal 15 20 4" xfId="26800"/>
    <cellStyle name="Normal 15 21" xfId="26801"/>
    <cellStyle name="Normal 15 22" xfId="26802"/>
    <cellStyle name="Normal 15 23" xfId="26803"/>
    <cellStyle name="Normal 15 3" xfId="2079"/>
    <cellStyle name="Normal 15 3 2" xfId="2080"/>
    <cellStyle name="Normal 15 3 2 2" xfId="2081"/>
    <cellStyle name="Normal 15 3 2 2 2" xfId="2082"/>
    <cellStyle name="Normal 15 3 2 2 2 2" xfId="26804"/>
    <cellStyle name="Normal 15 3 2 2 2 2 2" xfId="26805"/>
    <cellStyle name="Normal 15 3 2 2 2 2 3" xfId="26806"/>
    <cellStyle name="Normal 15 3 2 2 2 2 4" xfId="26807"/>
    <cellStyle name="Normal 15 3 2 2 2 3" xfId="26808"/>
    <cellStyle name="Normal 15 3 2 2 2 4" xfId="26809"/>
    <cellStyle name="Normal 15 3 2 2 2 5" xfId="26810"/>
    <cellStyle name="Normal 15 3 2 2 3" xfId="2083"/>
    <cellStyle name="Normal 15 3 2 2 3 2" xfId="26811"/>
    <cellStyle name="Normal 15 3 2 2 3 2 2" xfId="26812"/>
    <cellStyle name="Normal 15 3 2 2 3 2 3" xfId="26813"/>
    <cellStyle name="Normal 15 3 2 2 3 2 4" xfId="26814"/>
    <cellStyle name="Normal 15 3 2 2 3 3" xfId="26815"/>
    <cellStyle name="Normal 15 3 2 2 3 4" xfId="26816"/>
    <cellStyle name="Normal 15 3 2 2 3 5" xfId="26817"/>
    <cellStyle name="Normal 15 3 2 2 4" xfId="26818"/>
    <cellStyle name="Normal 15 3 2 2 4 2" xfId="26819"/>
    <cellStyle name="Normal 15 3 2 2 4 3" xfId="26820"/>
    <cellStyle name="Normal 15 3 2 2 4 4" xfId="26821"/>
    <cellStyle name="Normal 15 3 2 2 5" xfId="26822"/>
    <cellStyle name="Normal 15 3 2 2 6" xfId="26823"/>
    <cellStyle name="Normal 15 3 2 2 7" xfId="26824"/>
    <cellStyle name="Normal 15 3 2 3" xfId="2084"/>
    <cellStyle name="Normal 15 3 2 3 2" xfId="26825"/>
    <cellStyle name="Normal 15 3 2 3 2 2" xfId="26826"/>
    <cellStyle name="Normal 15 3 2 3 2 3" xfId="26827"/>
    <cellStyle name="Normal 15 3 2 3 2 4" xfId="26828"/>
    <cellStyle name="Normal 15 3 2 3 3" xfId="26829"/>
    <cellStyle name="Normal 15 3 2 3 4" xfId="26830"/>
    <cellStyle name="Normal 15 3 2 3 5" xfId="26831"/>
    <cellStyle name="Normal 15 3 2 4" xfId="2085"/>
    <cellStyle name="Normal 15 3 2 4 2" xfId="26832"/>
    <cellStyle name="Normal 15 3 2 4 2 2" xfId="26833"/>
    <cellStyle name="Normal 15 3 2 4 2 3" xfId="26834"/>
    <cellStyle name="Normal 15 3 2 4 2 4" xfId="26835"/>
    <cellStyle name="Normal 15 3 2 4 3" xfId="26836"/>
    <cellStyle name="Normal 15 3 2 4 4" xfId="26837"/>
    <cellStyle name="Normal 15 3 2 4 5" xfId="26838"/>
    <cellStyle name="Normal 15 3 2 5" xfId="26839"/>
    <cellStyle name="Normal 15 3 2 5 2" xfId="26840"/>
    <cellStyle name="Normal 15 3 2 5 3" xfId="26841"/>
    <cellStyle name="Normal 15 3 2 5 4" xfId="26842"/>
    <cellStyle name="Normal 15 3 2 6" xfId="26843"/>
    <cellStyle name="Normal 15 3 2 7" xfId="26844"/>
    <cellStyle name="Normal 15 3 2 8" xfId="26845"/>
    <cellStyle name="Normal 15 3 3" xfId="2086"/>
    <cellStyle name="Normal 15 3 3 2" xfId="2087"/>
    <cellStyle name="Normal 15 3 3 2 2" xfId="26846"/>
    <cellStyle name="Normal 15 3 3 2 2 2" xfId="26847"/>
    <cellStyle name="Normal 15 3 3 2 2 3" xfId="26848"/>
    <cellStyle name="Normal 15 3 3 2 2 4" xfId="26849"/>
    <cellStyle name="Normal 15 3 3 2 3" xfId="26850"/>
    <cellStyle name="Normal 15 3 3 2 4" xfId="26851"/>
    <cellStyle name="Normal 15 3 3 2 5" xfId="26852"/>
    <cellStyle name="Normal 15 3 3 3" xfId="2088"/>
    <cellStyle name="Normal 15 3 3 3 2" xfId="26853"/>
    <cellStyle name="Normal 15 3 3 3 2 2" xfId="26854"/>
    <cellStyle name="Normal 15 3 3 3 2 3" xfId="26855"/>
    <cellStyle name="Normal 15 3 3 3 2 4" xfId="26856"/>
    <cellStyle name="Normal 15 3 3 3 3" xfId="26857"/>
    <cellStyle name="Normal 15 3 3 3 4" xfId="26858"/>
    <cellStyle name="Normal 15 3 3 3 5" xfId="26859"/>
    <cellStyle name="Normal 15 3 3 4" xfId="26860"/>
    <cellStyle name="Normal 15 3 3 4 2" xfId="26861"/>
    <cellStyle name="Normal 15 3 3 4 3" xfId="26862"/>
    <cellStyle name="Normal 15 3 3 4 4" xfId="26863"/>
    <cellStyle name="Normal 15 3 3 5" xfId="26864"/>
    <cellStyle name="Normal 15 3 3 6" xfId="26865"/>
    <cellStyle name="Normal 15 3 3 7" xfId="26866"/>
    <cellStyle name="Normal 15 3 4" xfId="2089"/>
    <cellStyle name="Normal 15 3 4 2" xfId="26867"/>
    <cellStyle name="Normal 15 3 4 2 2" xfId="26868"/>
    <cellStyle name="Normal 15 3 4 2 3" xfId="26869"/>
    <cellStyle name="Normal 15 3 4 2 4" xfId="26870"/>
    <cellStyle name="Normal 15 3 4 3" xfId="26871"/>
    <cellStyle name="Normal 15 3 4 4" xfId="26872"/>
    <cellStyle name="Normal 15 3 4 5" xfId="26873"/>
    <cellStyle name="Normal 15 3 5" xfId="2090"/>
    <cellStyle name="Normal 15 3 5 2" xfId="26874"/>
    <cellStyle name="Normal 15 3 5 2 2" xfId="26875"/>
    <cellStyle name="Normal 15 3 5 2 3" xfId="26876"/>
    <cellStyle name="Normal 15 3 5 2 4" xfId="26877"/>
    <cellStyle name="Normal 15 3 5 3" xfId="26878"/>
    <cellStyle name="Normal 15 3 5 4" xfId="26879"/>
    <cellStyle name="Normal 15 3 5 5" xfId="26880"/>
    <cellStyle name="Normal 15 3 6" xfId="26881"/>
    <cellStyle name="Normal 15 3 6 2" xfId="26882"/>
    <cellStyle name="Normal 15 3 6 3" xfId="26883"/>
    <cellStyle name="Normal 15 3 6 4" xfId="26884"/>
    <cellStyle name="Normal 15 3 7" xfId="26885"/>
    <cellStyle name="Normal 15 3 8" xfId="26886"/>
    <cellStyle name="Normal 15 3 9" xfId="26887"/>
    <cellStyle name="Normal 15 4" xfId="2091"/>
    <cellStyle name="Normal 15 4 2" xfId="2092"/>
    <cellStyle name="Normal 15 4 2 2" xfId="2093"/>
    <cellStyle name="Normal 15 4 2 2 2" xfId="2094"/>
    <cellStyle name="Normal 15 4 2 2 2 2" xfId="26888"/>
    <cellStyle name="Normal 15 4 2 2 2 2 2" xfId="26889"/>
    <cellStyle name="Normal 15 4 2 2 2 2 3" xfId="26890"/>
    <cellStyle name="Normal 15 4 2 2 2 2 4" xfId="26891"/>
    <cellStyle name="Normal 15 4 2 2 2 3" xfId="26892"/>
    <cellStyle name="Normal 15 4 2 2 2 4" xfId="26893"/>
    <cellStyle name="Normal 15 4 2 2 2 5" xfId="26894"/>
    <cellStyle name="Normal 15 4 2 2 3" xfId="2095"/>
    <cellStyle name="Normal 15 4 2 2 3 2" xfId="26895"/>
    <cellStyle name="Normal 15 4 2 2 3 2 2" xfId="26896"/>
    <cellStyle name="Normal 15 4 2 2 3 2 3" xfId="26897"/>
    <cellStyle name="Normal 15 4 2 2 3 2 4" xfId="26898"/>
    <cellStyle name="Normal 15 4 2 2 3 3" xfId="26899"/>
    <cellStyle name="Normal 15 4 2 2 3 4" xfId="26900"/>
    <cellStyle name="Normal 15 4 2 2 3 5" xfId="26901"/>
    <cellStyle name="Normal 15 4 2 2 4" xfId="26902"/>
    <cellStyle name="Normal 15 4 2 2 4 2" xfId="26903"/>
    <cellStyle name="Normal 15 4 2 2 4 3" xfId="26904"/>
    <cellStyle name="Normal 15 4 2 2 4 4" xfId="26905"/>
    <cellStyle name="Normal 15 4 2 2 5" xfId="26906"/>
    <cellStyle name="Normal 15 4 2 2 6" xfId="26907"/>
    <cellStyle name="Normal 15 4 2 2 7" xfId="26908"/>
    <cellStyle name="Normal 15 4 2 3" xfId="2096"/>
    <cellStyle name="Normal 15 4 2 3 2" xfId="26909"/>
    <cellStyle name="Normal 15 4 2 3 2 2" xfId="26910"/>
    <cellStyle name="Normal 15 4 2 3 2 3" xfId="26911"/>
    <cellStyle name="Normal 15 4 2 3 2 4" xfId="26912"/>
    <cellStyle name="Normal 15 4 2 3 3" xfId="26913"/>
    <cellStyle name="Normal 15 4 2 3 4" xfId="26914"/>
    <cellStyle name="Normal 15 4 2 3 5" xfId="26915"/>
    <cellStyle name="Normal 15 4 2 4" xfId="2097"/>
    <cellStyle name="Normal 15 4 2 4 2" xfId="26916"/>
    <cellStyle name="Normal 15 4 2 4 2 2" xfId="26917"/>
    <cellStyle name="Normal 15 4 2 4 2 3" xfId="26918"/>
    <cellStyle name="Normal 15 4 2 4 2 4" xfId="26919"/>
    <cellStyle name="Normal 15 4 2 4 3" xfId="26920"/>
    <cellStyle name="Normal 15 4 2 4 4" xfId="26921"/>
    <cellStyle name="Normal 15 4 2 4 5" xfId="26922"/>
    <cellStyle name="Normal 15 4 2 5" xfId="26923"/>
    <cellStyle name="Normal 15 4 2 5 2" xfId="26924"/>
    <cellStyle name="Normal 15 4 2 5 3" xfId="26925"/>
    <cellStyle name="Normal 15 4 2 5 4" xfId="26926"/>
    <cellStyle name="Normal 15 4 2 6" xfId="26927"/>
    <cellStyle name="Normal 15 4 2 7" xfId="26928"/>
    <cellStyle name="Normal 15 4 2 8" xfId="26929"/>
    <cellStyle name="Normal 15 4 3" xfId="2098"/>
    <cellStyle name="Normal 15 4 3 2" xfId="2099"/>
    <cellStyle name="Normal 15 4 3 2 2" xfId="26930"/>
    <cellStyle name="Normal 15 4 3 2 2 2" xfId="26931"/>
    <cellStyle name="Normal 15 4 3 2 2 3" xfId="26932"/>
    <cellStyle name="Normal 15 4 3 2 2 4" xfId="26933"/>
    <cellStyle name="Normal 15 4 3 2 3" xfId="26934"/>
    <cellStyle name="Normal 15 4 3 2 4" xfId="26935"/>
    <cellStyle name="Normal 15 4 3 2 5" xfId="26936"/>
    <cellStyle name="Normal 15 4 3 3" xfId="2100"/>
    <cellStyle name="Normal 15 4 3 3 2" xfId="26937"/>
    <cellStyle name="Normal 15 4 3 3 2 2" xfId="26938"/>
    <cellStyle name="Normal 15 4 3 3 2 3" xfId="26939"/>
    <cellStyle name="Normal 15 4 3 3 2 4" xfId="26940"/>
    <cellStyle name="Normal 15 4 3 3 3" xfId="26941"/>
    <cellStyle name="Normal 15 4 3 3 4" xfId="26942"/>
    <cellStyle name="Normal 15 4 3 3 5" xfId="26943"/>
    <cellStyle name="Normal 15 4 3 4" xfId="26944"/>
    <cellStyle name="Normal 15 4 3 4 2" xfId="26945"/>
    <cellStyle name="Normal 15 4 3 4 3" xfId="26946"/>
    <cellStyle name="Normal 15 4 3 4 4" xfId="26947"/>
    <cellStyle name="Normal 15 4 3 5" xfId="26948"/>
    <cellStyle name="Normal 15 4 3 6" xfId="26949"/>
    <cellStyle name="Normal 15 4 3 7" xfId="26950"/>
    <cellStyle name="Normal 15 4 4" xfId="2101"/>
    <cellStyle name="Normal 15 4 4 2" xfId="26951"/>
    <cellStyle name="Normal 15 4 4 2 2" xfId="26952"/>
    <cellStyle name="Normal 15 4 4 2 3" xfId="26953"/>
    <cellStyle name="Normal 15 4 4 2 4" xfId="26954"/>
    <cellStyle name="Normal 15 4 4 3" xfId="26955"/>
    <cellStyle name="Normal 15 4 4 4" xfId="26956"/>
    <cellStyle name="Normal 15 4 4 5" xfId="26957"/>
    <cellStyle name="Normal 15 4 5" xfId="2102"/>
    <cellStyle name="Normal 15 4 5 2" xfId="26958"/>
    <cellStyle name="Normal 15 4 5 2 2" xfId="26959"/>
    <cellStyle name="Normal 15 4 5 2 3" xfId="26960"/>
    <cellStyle name="Normal 15 4 5 2 4" xfId="26961"/>
    <cellStyle name="Normal 15 4 5 3" xfId="26962"/>
    <cellStyle name="Normal 15 4 5 4" xfId="26963"/>
    <cellStyle name="Normal 15 4 5 5" xfId="26964"/>
    <cellStyle name="Normal 15 4 6" xfId="26965"/>
    <cellStyle name="Normal 15 4 6 2" xfId="26966"/>
    <cellStyle name="Normal 15 4 6 3" xfId="26967"/>
    <cellStyle name="Normal 15 4 6 4" xfId="26968"/>
    <cellStyle name="Normal 15 4 7" xfId="26969"/>
    <cellStyle name="Normal 15 4 8" xfId="26970"/>
    <cellStyle name="Normal 15 4 9" xfId="26971"/>
    <cellStyle name="Normal 15 5" xfId="2103"/>
    <cellStyle name="Normal 15 5 2" xfId="2104"/>
    <cellStyle name="Normal 15 5 2 2" xfId="2105"/>
    <cellStyle name="Normal 15 5 2 2 2" xfId="2106"/>
    <cellStyle name="Normal 15 5 2 2 2 2" xfId="26972"/>
    <cellStyle name="Normal 15 5 2 2 2 2 2" xfId="26973"/>
    <cellStyle name="Normal 15 5 2 2 2 2 3" xfId="26974"/>
    <cellStyle name="Normal 15 5 2 2 2 2 4" xfId="26975"/>
    <cellStyle name="Normal 15 5 2 2 2 3" xfId="26976"/>
    <cellStyle name="Normal 15 5 2 2 2 4" xfId="26977"/>
    <cellStyle name="Normal 15 5 2 2 2 5" xfId="26978"/>
    <cellStyle name="Normal 15 5 2 2 3" xfId="2107"/>
    <cellStyle name="Normal 15 5 2 2 3 2" xfId="26979"/>
    <cellStyle name="Normal 15 5 2 2 3 2 2" xfId="26980"/>
    <cellStyle name="Normal 15 5 2 2 3 2 3" xfId="26981"/>
    <cellStyle name="Normal 15 5 2 2 3 2 4" xfId="26982"/>
    <cellStyle name="Normal 15 5 2 2 3 3" xfId="26983"/>
    <cellStyle name="Normal 15 5 2 2 3 4" xfId="26984"/>
    <cellStyle name="Normal 15 5 2 2 3 5" xfId="26985"/>
    <cellStyle name="Normal 15 5 2 2 4" xfId="26986"/>
    <cellStyle name="Normal 15 5 2 2 4 2" xfId="26987"/>
    <cellStyle name="Normal 15 5 2 2 4 3" xfId="26988"/>
    <cellStyle name="Normal 15 5 2 2 4 4" xfId="26989"/>
    <cellStyle name="Normal 15 5 2 2 5" xfId="26990"/>
    <cellStyle name="Normal 15 5 2 2 6" xfId="26991"/>
    <cellStyle name="Normal 15 5 2 2 7" xfId="26992"/>
    <cellStyle name="Normal 15 5 2 3" xfId="2108"/>
    <cellStyle name="Normal 15 5 2 3 2" xfId="26993"/>
    <cellStyle name="Normal 15 5 2 3 2 2" xfId="26994"/>
    <cellStyle name="Normal 15 5 2 3 2 3" xfId="26995"/>
    <cellStyle name="Normal 15 5 2 3 2 4" xfId="26996"/>
    <cellStyle name="Normal 15 5 2 3 3" xfId="26997"/>
    <cellStyle name="Normal 15 5 2 3 4" xfId="26998"/>
    <cellStyle name="Normal 15 5 2 3 5" xfId="26999"/>
    <cellStyle name="Normal 15 5 2 4" xfId="2109"/>
    <cellStyle name="Normal 15 5 2 4 2" xfId="27000"/>
    <cellStyle name="Normal 15 5 2 4 2 2" xfId="27001"/>
    <cellStyle name="Normal 15 5 2 4 2 3" xfId="27002"/>
    <cellStyle name="Normal 15 5 2 4 2 4" xfId="27003"/>
    <cellStyle name="Normal 15 5 2 4 3" xfId="27004"/>
    <cellStyle name="Normal 15 5 2 4 4" xfId="27005"/>
    <cellStyle name="Normal 15 5 2 4 5" xfId="27006"/>
    <cellStyle name="Normal 15 5 2 5" xfId="27007"/>
    <cellStyle name="Normal 15 5 2 5 2" xfId="27008"/>
    <cellStyle name="Normal 15 5 2 5 3" xfId="27009"/>
    <cellStyle name="Normal 15 5 2 5 4" xfId="27010"/>
    <cellStyle name="Normal 15 5 2 6" xfId="27011"/>
    <cellStyle name="Normal 15 5 2 7" xfId="27012"/>
    <cellStyle name="Normal 15 5 2 8" xfId="27013"/>
    <cellStyle name="Normal 15 5 3" xfId="2110"/>
    <cellStyle name="Normal 15 5 3 2" xfId="2111"/>
    <cellStyle name="Normal 15 5 3 2 2" xfId="27014"/>
    <cellStyle name="Normal 15 5 3 2 2 2" xfId="27015"/>
    <cellStyle name="Normal 15 5 3 2 2 3" xfId="27016"/>
    <cellStyle name="Normal 15 5 3 2 2 4" xfId="27017"/>
    <cellStyle name="Normal 15 5 3 2 3" xfId="27018"/>
    <cellStyle name="Normal 15 5 3 2 4" xfId="27019"/>
    <cellStyle name="Normal 15 5 3 2 5" xfId="27020"/>
    <cellStyle name="Normal 15 5 3 3" xfId="2112"/>
    <cellStyle name="Normal 15 5 3 3 2" xfId="27021"/>
    <cellStyle name="Normal 15 5 3 3 2 2" xfId="27022"/>
    <cellStyle name="Normal 15 5 3 3 2 3" xfId="27023"/>
    <cellStyle name="Normal 15 5 3 3 2 4" xfId="27024"/>
    <cellStyle name="Normal 15 5 3 3 3" xfId="27025"/>
    <cellStyle name="Normal 15 5 3 3 4" xfId="27026"/>
    <cellStyle name="Normal 15 5 3 3 5" xfId="27027"/>
    <cellStyle name="Normal 15 5 3 4" xfId="27028"/>
    <cellStyle name="Normal 15 5 3 4 2" xfId="27029"/>
    <cellStyle name="Normal 15 5 3 4 3" xfId="27030"/>
    <cellStyle name="Normal 15 5 3 4 4" xfId="27031"/>
    <cellStyle name="Normal 15 5 3 5" xfId="27032"/>
    <cellStyle name="Normal 15 5 3 6" xfId="27033"/>
    <cellStyle name="Normal 15 5 3 7" xfId="27034"/>
    <cellStyle name="Normal 15 5 4" xfId="2113"/>
    <cellStyle name="Normal 15 5 4 2" xfId="27035"/>
    <cellStyle name="Normal 15 5 4 2 2" xfId="27036"/>
    <cellStyle name="Normal 15 5 4 2 3" xfId="27037"/>
    <cellStyle name="Normal 15 5 4 2 4" xfId="27038"/>
    <cellStyle name="Normal 15 5 4 3" xfId="27039"/>
    <cellStyle name="Normal 15 5 4 4" xfId="27040"/>
    <cellStyle name="Normal 15 5 4 5" xfId="27041"/>
    <cellStyle name="Normal 15 5 5" xfId="2114"/>
    <cellStyle name="Normal 15 5 5 2" xfId="27042"/>
    <cellStyle name="Normal 15 5 5 2 2" xfId="27043"/>
    <cellStyle name="Normal 15 5 5 2 3" xfId="27044"/>
    <cellStyle name="Normal 15 5 5 2 4" xfId="27045"/>
    <cellStyle name="Normal 15 5 5 3" xfId="27046"/>
    <cellStyle name="Normal 15 5 5 4" xfId="27047"/>
    <cellStyle name="Normal 15 5 5 5" xfId="27048"/>
    <cellStyle name="Normal 15 5 6" xfId="27049"/>
    <cellStyle name="Normal 15 5 6 2" xfId="27050"/>
    <cellStyle name="Normal 15 5 6 3" xfId="27051"/>
    <cellStyle name="Normal 15 5 6 4" xfId="27052"/>
    <cellStyle name="Normal 15 5 7" xfId="27053"/>
    <cellStyle name="Normal 15 5 8" xfId="27054"/>
    <cellStyle name="Normal 15 5 9" xfId="27055"/>
    <cellStyle name="Normal 15 6" xfId="2115"/>
    <cellStyle name="Normal 15 6 2" xfId="2116"/>
    <cellStyle name="Normal 15 6 2 2" xfId="2117"/>
    <cellStyle name="Normal 15 6 2 2 2" xfId="2118"/>
    <cellStyle name="Normal 15 6 2 2 2 2" xfId="27056"/>
    <cellStyle name="Normal 15 6 2 2 2 2 2" xfId="27057"/>
    <cellStyle name="Normal 15 6 2 2 2 2 3" xfId="27058"/>
    <cellStyle name="Normal 15 6 2 2 2 2 4" xfId="27059"/>
    <cellStyle name="Normal 15 6 2 2 2 3" xfId="27060"/>
    <cellStyle name="Normal 15 6 2 2 2 4" xfId="27061"/>
    <cellStyle name="Normal 15 6 2 2 2 5" xfId="27062"/>
    <cellStyle name="Normal 15 6 2 2 3" xfId="2119"/>
    <cellStyle name="Normal 15 6 2 2 3 2" xfId="27063"/>
    <cellStyle name="Normal 15 6 2 2 3 2 2" xfId="27064"/>
    <cellStyle name="Normal 15 6 2 2 3 2 3" xfId="27065"/>
    <cellStyle name="Normal 15 6 2 2 3 2 4" xfId="27066"/>
    <cellStyle name="Normal 15 6 2 2 3 3" xfId="27067"/>
    <cellStyle name="Normal 15 6 2 2 3 4" xfId="27068"/>
    <cellStyle name="Normal 15 6 2 2 3 5" xfId="27069"/>
    <cellStyle name="Normal 15 6 2 2 4" xfId="27070"/>
    <cellStyle name="Normal 15 6 2 2 4 2" xfId="27071"/>
    <cellStyle name="Normal 15 6 2 2 4 3" xfId="27072"/>
    <cellStyle name="Normal 15 6 2 2 4 4" xfId="27073"/>
    <cellStyle name="Normal 15 6 2 2 5" xfId="27074"/>
    <cellStyle name="Normal 15 6 2 2 6" xfId="27075"/>
    <cellStyle name="Normal 15 6 2 2 7" xfId="27076"/>
    <cellStyle name="Normal 15 6 2 3" xfId="2120"/>
    <cellStyle name="Normal 15 6 2 3 2" xfId="27077"/>
    <cellStyle name="Normal 15 6 2 3 2 2" xfId="27078"/>
    <cellStyle name="Normal 15 6 2 3 2 3" xfId="27079"/>
    <cellStyle name="Normal 15 6 2 3 2 4" xfId="27080"/>
    <cellStyle name="Normal 15 6 2 3 3" xfId="27081"/>
    <cellStyle name="Normal 15 6 2 3 4" xfId="27082"/>
    <cellStyle name="Normal 15 6 2 3 5" xfId="27083"/>
    <cellStyle name="Normal 15 6 2 4" xfId="2121"/>
    <cellStyle name="Normal 15 6 2 4 2" xfId="27084"/>
    <cellStyle name="Normal 15 6 2 4 2 2" xfId="27085"/>
    <cellStyle name="Normal 15 6 2 4 2 3" xfId="27086"/>
    <cellStyle name="Normal 15 6 2 4 2 4" xfId="27087"/>
    <cellStyle name="Normal 15 6 2 4 3" xfId="27088"/>
    <cellStyle name="Normal 15 6 2 4 4" xfId="27089"/>
    <cellStyle name="Normal 15 6 2 4 5" xfId="27090"/>
    <cellStyle name="Normal 15 6 2 5" xfId="27091"/>
    <cellStyle name="Normal 15 6 2 5 2" xfId="27092"/>
    <cellStyle name="Normal 15 6 2 5 3" xfId="27093"/>
    <cellStyle name="Normal 15 6 2 5 4" xfId="27094"/>
    <cellStyle name="Normal 15 6 2 6" xfId="27095"/>
    <cellStyle name="Normal 15 6 2 7" xfId="27096"/>
    <cellStyle name="Normal 15 6 2 8" xfId="27097"/>
    <cellStyle name="Normal 15 6 3" xfId="2122"/>
    <cellStyle name="Normal 15 6 3 2" xfId="2123"/>
    <cellStyle name="Normal 15 6 3 2 2" xfId="27098"/>
    <cellStyle name="Normal 15 6 3 2 2 2" xfId="27099"/>
    <cellStyle name="Normal 15 6 3 2 2 3" xfId="27100"/>
    <cellStyle name="Normal 15 6 3 2 2 4" xfId="27101"/>
    <cellStyle name="Normal 15 6 3 2 3" xfId="27102"/>
    <cellStyle name="Normal 15 6 3 2 4" xfId="27103"/>
    <cellStyle name="Normal 15 6 3 2 5" xfId="27104"/>
    <cellStyle name="Normal 15 6 3 3" xfId="2124"/>
    <cellStyle name="Normal 15 6 3 3 2" xfId="27105"/>
    <cellStyle name="Normal 15 6 3 3 2 2" xfId="27106"/>
    <cellStyle name="Normal 15 6 3 3 2 3" xfId="27107"/>
    <cellStyle name="Normal 15 6 3 3 2 4" xfId="27108"/>
    <cellStyle name="Normal 15 6 3 3 3" xfId="27109"/>
    <cellStyle name="Normal 15 6 3 3 4" xfId="27110"/>
    <cellStyle name="Normal 15 6 3 3 5" xfId="27111"/>
    <cellStyle name="Normal 15 6 3 4" xfId="27112"/>
    <cellStyle name="Normal 15 6 3 4 2" xfId="27113"/>
    <cellStyle name="Normal 15 6 3 4 3" xfId="27114"/>
    <cellStyle name="Normal 15 6 3 4 4" xfId="27115"/>
    <cellStyle name="Normal 15 6 3 5" xfId="27116"/>
    <cellStyle name="Normal 15 6 3 6" xfId="27117"/>
    <cellStyle name="Normal 15 6 3 7" xfId="27118"/>
    <cellStyle name="Normal 15 6 4" xfId="2125"/>
    <cellStyle name="Normal 15 6 4 2" xfId="27119"/>
    <cellStyle name="Normal 15 6 4 2 2" xfId="27120"/>
    <cellStyle name="Normal 15 6 4 2 3" xfId="27121"/>
    <cellStyle name="Normal 15 6 4 2 4" xfId="27122"/>
    <cellStyle name="Normal 15 6 4 3" xfId="27123"/>
    <cellStyle name="Normal 15 6 4 4" xfId="27124"/>
    <cellStyle name="Normal 15 6 4 5" xfId="27125"/>
    <cellStyle name="Normal 15 6 5" xfId="2126"/>
    <cellStyle name="Normal 15 6 5 2" xfId="27126"/>
    <cellStyle name="Normal 15 6 5 2 2" xfId="27127"/>
    <cellStyle name="Normal 15 6 5 2 3" xfId="27128"/>
    <cellStyle name="Normal 15 6 5 2 4" xfId="27129"/>
    <cellStyle name="Normal 15 6 5 3" xfId="27130"/>
    <cellStyle name="Normal 15 6 5 4" xfId="27131"/>
    <cellStyle name="Normal 15 6 5 5" xfId="27132"/>
    <cellStyle name="Normal 15 6 6" xfId="27133"/>
    <cellStyle name="Normal 15 6 6 2" xfId="27134"/>
    <cellStyle name="Normal 15 6 6 3" xfId="27135"/>
    <cellStyle name="Normal 15 6 6 4" xfId="27136"/>
    <cellStyle name="Normal 15 6 7" xfId="27137"/>
    <cellStyle name="Normal 15 6 8" xfId="27138"/>
    <cellStyle name="Normal 15 6 9" xfId="27139"/>
    <cellStyle name="Normal 15 7" xfId="2127"/>
    <cellStyle name="Normal 15 7 2" xfId="2128"/>
    <cellStyle name="Normal 15 7 2 2" xfId="2129"/>
    <cellStyle name="Normal 15 7 2 2 2" xfId="2130"/>
    <cellStyle name="Normal 15 7 2 2 2 2" xfId="27140"/>
    <cellStyle name="Normal 15 7 2 2 2 2 2" xfId="27141"/>
    <cellStyle name="Normal 15 7 2 2 2 2 3" xfId="27142"/>
    <cellStyle name="Normal 15 7 2 2 2 2 4" xfId="27143"/>
    <cellStyle name="Normal 15 7 2 2 2 3" xfId="27144"/>
    <cellStyle name="Normal 15 7 2 2 2 4" xfId="27145"/>
    <cellStyle name="Normal 15 7 2 2 2 5" xfId="27146"/>
    <cellStyle name="Normal 15 7 2 2 3" xfId="2131"/>
    <cellStyle name="Normal 15 7 2 2 3 2" xfId="27147"/>
    <cellStyle name="Normal 15 7 2 2 3 2 2" xfId="27148"/>
    <cellStyle name="Normal 15 7 2 2 3 2 3" xfId="27149"/>
    <cellStyle name="Normal 15 7 2 2 3 2 4" xfId="27150"/>
    <cellStyle name="Normal 15 7 2 2 3 3" xfId="27151"/>
    <cellStyle name="Normal 15 7 2 2 3 4" xfId="27152"/>
    <cellStyle name="Normal 15 7 2 2 3 5" xfId="27153"/>
    <cellStyle name="Normal 15 7 2 2 4" xfId="27154"/>
    <cellStyle name="Normal 15 7 2 2 4 2" xfId="27155"/>
    <cellStyle name="Normal 15 7 2 2 4 3" xfId="27156"/>
    <cellStyle name="Normal 15 7 2 2 4 4" xfId="27157"/>
    <cellStyle name="Normal 15 7 2 2 5" xfId="27158"/>
    <cellStyle name="Normal 15 7 2 2 6" xfId="27159"/>
    <cellStyle name="Normal 15 7 2 2 7" xfId="27160"/>
    <cellStyle name="Normal 15 7 2 3" xfId="2132"/>
    <cellStyle name="Normal 15 7 2 3 2" xfId="27161"/>
    <cellStyle name="Normal 15 7 2 3 2 2" xfId="27162"/>
    <cellStyle name="Normal 15 7 2 3 2 3" xfId="27163"/>
    <cellStyle name="Normal 15 7 2 3 2 4" xfId="27164"/>
    <cellStyle name="Normal 15 7 2 3 3" xfId="27165"/>
    <cellStyle name="Normal 15 7 2 3 4" xfId="27166"/>
    <cellStyle name="Normal 15 7 2 3 5" xfId="27167"/>
    <cellStyle name="Normal 15 7 2 4" xfId="2133"/>
    <cellStyle name="Normal 15 7 2 4 2" xfId="27168"/>
    <cellStyle name="Normal 15 7 2 4 2 2" xfId="27169"/>
    <cellStyle name="Normal 15 7 2 4 2 3" xfId="27170"/>
    <cellStyle name="Normal 15 7 2 4 2 4" xfId="27171"/>
    <cellStyle name="Normal 15 7 2 4 3" xfId="27172"/>
    <cellStyle name="Normal 15 7 2 4 4" xfId="27173"/>
    <cellStyle name="Normal 15 7 2 4 5" xfId="27174"/>
    <cellStyle name="Normal 15 7 2 5" xfId="27175"/>
    <cellStyle name="Normal 15 7 2 5 2" xfId="27176"/>
    <cellStyle name="Normal 15 7 2 5 3" xfId="27177"/>
    <cellStyle name="Normal 15 7 2 5 4" xfId="27178"/>
    <cellStyle name="Normal 15 7 2 6" xfId="27179"/>
    <cellStyle name="Normal 15 7 2 7" xfId="27180"/>
    <cellStyle name="Normal 15 7 2 8" xfId="27181"/>
    <cellStyle name="Normal 15 7 3" xfId="2134"/>
    <cellStyle name="Normal 15 7 3 2" xfId="2135"/>
    <cellStyle name="Normal 15 7 3 2 2" xfId="27182"/>
    <cellStyle name="Normal 15 7 3 2 2 2" xfId="27183"/>
    <cellStyle name="Normal 15 7 3 2 2 3" xfId="27184"/>
    <cellStyle name="Normal 15 7 3 2 2 4" xfId="27185"/>
    <cellStyle name="Normal 15 7 3 2 3" xfId="27186"/>
    <cellStyle name="Normal 15 7 3 2 4" xfId="27187"/>
    <cellStyle name="Normal 15 7 3 2 5" xfId="27188"/>
    <cellStyle name="Normal 15 7 3 3" xfId="2136"/>
    <cellStyle name="Normal 15 7 3 3 2" xfId="27189"/>
    <cellStyle name="Normal 15 7 3 3 2 2" xfId="27190"/>
    <cellStyle name="Normal 15 7 3 3 2 3" xfId="27191"/>
    <cellStyle name="Normal 15 7 3 3 2 4" xfId="27192"/>
    <cellStyle name="Normal 15 7 3 3 3" xfId="27193"/>
    <cellStyle name="Normal 15 7 3 3 4" xfId="27194"/>
    <cellStyle name="Normal 15 7 3 3 5" xfId="27195"/>
    <cellStyle name="Normal 15 7 3 4" xfId="27196"/>
    <cellStyle name="Normal 15 7 3 4 2" xfId="27197"/>
    <cellStyle name="Normal 15 7 3 4 3" xfId="27198"/>
    <cellStyle name="Normal 15 7 3 4 4" xfId="27199"/>
    <cellStyle name="Normal 15 7 3 5" xfId="27200"/>
    <cellStyle name="Normal 15 7 3 6" xfId="27201"/>
    <cellStyle name="Normal 15 7 3 7" xfId="27202"/>
    <cellStyle name="Normal 15 7 4" xfId="2137"/>
    <cellStyle name="Normal 15 7 4 2" xfId="27203"/>
    <cellStyle name="Normal 15 7 4 2 2" xfId="27204"/>
    <cellStyle name="Normal 15 7 4 2 3" xfId="27205"/>
    <cellStyle name="Normal 15 7 4 2 4" xfId="27206"/>
    <cellStyle name="Normal 15 7 4 3" xfId="27207"/>
    <cellStyle name="Normal 15 7 4 4" xfId="27208"/>
    <cellStyle name="Normal 15 7 4 5" xfId="27209"/>
    <cellStyle name="Normal 15 7 5" xfId="2138"/>
    <cellStyle name="Normal 15 7 5 2" xfId="27210"/>
    <cellStyle name="Normal 15 7 5 2 2" xfId="27211"/>
    <cellStyle name="Normal 15 7 5 2 3" xfId="27212"/>
    <cellStyle name="Normal 15 7 5 2 4" xfId="27213"/>
    <cellStyle name="Normal 15 7 5 3" xfId="27214"/>
    <cellStyle name="Normal 15 7 5 4" xfId="27215"/>
    <cellStyle name="Normal 15 7 5 5" xfId="27216"/>
    <cellStyle name="Normal 15 7 6" xfId="27217"/>
    <cellStyle name="Normal 15 7 6 2" xfId="27218"/>
    <cellStyle name="Normal 15 7 6 3" xfId="27219"/>
    <cellStyle name="Normal 15 7 6 4" xfId="27220"/>
    <cellStyle name="Normal 15 7 7" xfId="27221"/>
    <cellStyle name="Normal 15 7 8" xfId="27222"/>
    <cellStyle name="Normal 15 7 9" xfId="27223"/>
    <cellStyle name="Normal 15 8" xfId="2139"/>
    <cellStyle name="Normal 15 8 2" xfId="2140"/>
    <cellStyle name="Normal 15 8 2 2" xfId="2141"/>
    <cellStyle name="Normal 15 8 2 2 2" xfId="2142"/>
    <cellStyle name="Normal 15 8 2 2 2 2" xfId="27224"/>
    <cellStyle name="Normal 15 8 2 2 2 2 2" xfId="27225"/>
    <cellStyle name="Normal 15 8 2 2 2 2 3" xfId="27226"/>
    <cellStyle name="Normal 15 8 2 2 2 2 4" xfId="27227"/>
    <cellStyle name="Normal 15 8 2 2 2 3" xfId="27228"/>
    <cellStyle name="Normal 15 8 2 2 2 4" xfId="27229"/>
    <cellStyle name="Normal 15 8 2 2 2 5" xfId="27230"/>
    <cellStyle name="Normal 15 8 2 2 3" xfId="2143"/>
    <cellStyle name="Normal 15 8 2 2 3 2" xfId="27231"/>
    <cellStyle name="Normal 15 8 2 2 3 2 2" xfId="27232"/>
    <cellStyle name="Normal 15 8 2 2 3 2 3" xfId="27233"/>
    <cellStyle name="Normal 15 8 2 2 3 2 4" xfId="27234"/>
    <cellStyle name="Normal 15 8 2 2 3 3" xfId="27235"/>
    <cellStyle name="Normal 15 8 2 2 3 4" xfId="27236"/>
    <cellStyle name="Normal 15 8 2 2 3 5" xfId="27237"/>
    <cellStyle name="Normal 15 8 2 2 4" xfId="27238"/>
    <cellStyle name="Normal 15 8 2 2 4 2" xfId="27239"/>
    <cellStyle name="Normal 15 8 2 2 4 3" xfId="27240"/>
    <cellStyle name="Normal 15 8 2 2 4 4" xfId="27241"/>
    <cellStyle name="Normal 15 8 2 2 5" xfId="27242"/>
    <cellStyle name="Normal 15 8 2 2 6" xfId="27243"/>
    <cellStyle name="Normal 15 8 2 2 7" xfId="27244"/>
    <cellStyle name="Normal 15 8 2 3" xfId="2144"/>
    <cellStyle name="Normal 15 8 2 3 2" xfId="27245"/>
    <cellStyle name="Normal 15 8 2 3 2 2" xfId="27246"/>
    <cellStyle name="Normal 15 8 2 3 2 3" xfId="27247"/>
    <cellStyle name="Normal 15 8 2 3 2 4" xfId="27248"/>
    <cellStyle name="Normal 15 8 2 3 3" xfId="27249"/>
    <cellStyle name="Normal 15 8 2 3 4" xfId="27250"/>
    <cellStyle name="Normal 15 8 2 3 5" xfId="27251"/>
    <cellStyle name="Normal 15 8 2 4" xfId="2145"/>
    <cellStyle name="Normal 15 8 2 4 2" xfId="27252"/>
    <cellStyle name="Normal 15 8 2 4 2 2" xfId="27253"/>
    <cellStyle name="Normal 15 8 2 4 2 3" xfId="27254"/>
    <cellStyle name="Normal 15 8 2 4 2 4" xfId="27255"/>
    <cellStyle name="Normal 15 8 2 4 3" xfId="27256"/>
    <cellStyle name="Normal 15 8 2 4 4" xfId="27257"/>
    <cellStyle name="Normal 15 8 2 4 5" xfId="27258"/>
    <cellStyle name="Normal 15 8 2 5" xfId="27259"/>
    <cellStyle name="Normal 15 8 2 5 2" xfId="27260"/>
    <cellStyle name="Normal 15 8 2 5 3" xfId="27261"/>
    <cellStyle name="Normal 15 8 2 5 4" xfId="27262"/>
    <cellStyle name="Normal 15 8 2 6" xfId="27263"/>
    <cellStyle name="Normal 15 8 2 7" xfId="27264"/>
    <cellStyle name="Normal 15 8 2 8" xfId="27265"/>
    <cellStyle name="Normal 15 8 3" xfId="2146"/>
    <cellStyle name="Normal 15 8 3 2" xfId="2147"/>
    <cellStyle name="Normal 15 8 3 2 2" xfId="27266"/>
    <cellStyle name="Normal 15 8 3 2 2 2" xfId="27267"/>
    <cellStyle name="Normal 15 8 3 2 2 3" xfId="27268"/>
    <cellStyle name="Normal 15 8 3 2 2 4" xfId="27269"/>
    <cellStyle name="Normal 15 8 3 2 3" xfId="27270"/>
    <cellStyle name="Normal 15 8 3 2 4" xfId="27271"/>
    <cellStyle name="Normal 15 8 3 2 5" xfId="27272"/>
    <cellStyle name="Normal 15 8 3 3" xfId="2148"/>
    <cellStyle name="Normal 15 8 3 3 2" xfId="27273"/>
    <cellStyle name="Normal 15 8 3 3 2 2" xfId="27274"/>
    <cellStyle name="Normal 15 8 3 3 2 3" xfId="27275"/>
    <cellStyle name="Normal 15 8 3 3 2 4" xfId="27276"/>
    <cellStyle name="Normal 15 8 3 3 3" xfId="27277"/>
    <cellStyle name="Normal 15 8 3 3 4" xfId="27278"/>
    <cellStyle name="Normal 15 8 3 3 5" xfId="27279"/>
    <cellStyle name="Normal 15 8 3 4" xfId="27280"/>
    <cellStyle name="Normal 15 8 3 4 2" xfId="27281"/>
    <cellStyle name="Normal 15 8 3 4 3" xfId="27282"/>
    <cellStyle name="Normal 15 8 3 4 4" xfId="27283"/>
    <cellStyle name="Normal 15 8 3 5" xfId="27284"/>
    <cellStyle name="Normal 15 8 3 6" xfId="27285"/>
    <cellStyle name="Normal 15 8 3 7" xfId="27286"/>
    <cellStyle name="Normal 15 8 4" xfId="2149"/>
    <cellStyle name="Normal 15 8 4 2" xfId="27287"/>
    <cellStyle name="Normal 15 8 4 2 2" xfId="27288"/>
    <cellStyle name="Normal 15 8 4 2 3" xfId="27289"/>
    <cellStyle name="Normal 15 8 4 2 4" xfId="27290"/>
    <cellStyle name="Normal 15 8 4 3" xfId="27291"/>
    <cellStyle name="Normal 15 8 4 4" xfId="27292"/>
    <cellStyle name="Normal 15 8 4 5" xfId="27293"/>
    <cellStyle name="Normal 15 8 5" xfId="2150"/>
    <cellStyle name="Normal 15 8 5 2" xfId="27294"/>
    <cellStyle name="Normal 15 8 5 2 2" xfId="27295"/>
    <cellStyle name="Normal 15 8 5 2 3" xfId="27296"/>
    <cellStyle name="Normal 15 8 5 2 4" xfId="27297"/>
    <cellStyle name="Normal 15 8 5 3" xfId="27298"/>
    <cellStyle name="Normal 15 8 5 4" xfId="27299"/>
    <cellStyle name="Normal 15 8 5 5" xfId="27300"/>
    <cellStyle name="Normal 15 8 6" xfId="27301"/>
    <cellStyle name="Normal 15 8 6 2" xfId="27302"/>
    <cellStyle name="Normal 15 8 6 3" xfId="27303"/>
    <cellStyle name="Normal 15 8 6 4" xfId="27304"/>
    <cellStyle name="Normal 15 8 7" xfId="27305"/>
    <cellStyle name="Normal 15 8 8" xfId="27306"/>
    <cellStyle name="Normal 15 8 9" xfId="27307"/>
    <cellStyle name="Normal 15 9" xfId="2151"/>
    <cellStyle name="Normal 15 9 2" xfId="2152"/>
    <cellStyle name="Normal 15 9 2 2" xfId="2153"/>
    <cellStyle name="Normal 15 9 2 2 2" xfId="2154"/>
    <cellStyle name="Normal 15 9 2 2 2 2" xfId="27308"/>
    <cellStyle name="Normal 15 9 2 2 2 2 2" xfId="27309"/>
    <cellStyle name="Normal 15 9 2 2 2 2 3" xfId="27310"/>
    <cellStyle name="Normal 15 9 2 2 2 2 4" xfId="27311"/>
    <cellStyle name="Normal 15 9 2 2 2 3" xfId="27312"/>
    <cellStyle name="Normal 15 9 2 2 2 4" xfId="27313"/>
    <cellStyle name="Normal 15 9 2 2 2 5" xfId="27314"/>
    <cellStyle name="Normal 15 9 2 2 3" xfId="2155"/>
    <cellStyle name="Normal 15 9 2 2 3 2" xfId="27315"/>
    <cellStyle name="Normal 15 9 2 2 3 2 2" xfId="27316"/>
    <cellStyle name="Normal 15 9 2 2 3 2 3" xfId="27317"/>
    <cellStyle name="Normal 15 9 2 2 3 2 4" xfId="27318"/>
    <cellStyle name="Normal 15 9 2 2 3 3" xfId="27319"/>
    <cellStyle name="Normal 15 9 2 2 3 4" xfId="27320"/>
    <cellStyle name="Normal 15 9 2 2 3 5" xfId="27321"/>
    <cellStyle name="Normal 15 9 2 2 4" xfId="27322"/>
    <cellStyle name="Normal 15 9 2 2 4 2" xfId="27323"/>
    <cellStyle name="Normal 15 9 2 2 4 3" xfId="27324"/>
    <cellStyle name="Normal 15 9 2 2 4 4" xfId="27325"/>
    <cellStyle name="Normal 15 9 2 2 5" xfId="27326"/>
    <cellStyle name="Normal 15 9 2 2 6" xfId="27327"/>
    <cellStyle name="Normal 15 9 2 2 7" xfId="27328"/>
    <cellStyle name="Normal 15 9 2 3" xfId="2156"/>
    <cellStyle name="Normal 15 9 2 3 2" xfId="27329"/>
    <cellStyle name="Normal 15 9 2 3 2 2" xfId="27330"/>
    <cellStyle name="Normal 15 9 2 3 2 3" xfId="27331"/>
    <cellStyle name="Normal 15 9 2 3 2 4" xfId="27332"/>
    <cellStyle name="Normal 15 9 2 3 3" xfId="27333"/>
    <cellStyle name="Normal 15 9 2 3 4" xfId="27334"/>
    <cellStyle name="Normal 15 9 2 3 5" xfId="27335"/>
    <cellStyle name="Normal 15 9 2 4" xfId="2157"/>
    <cellStyle name="Normal 15 9 2 4 2" xfId="27336"/>
    <cellStyle name="Normal 15 9 2 4 2 2" xfId="27337"/>
    <cellStyle name="Normal 15 9 2 4 2 3" xfId="27338"/>
    <cellStyle name="Normal 15 9 2 4 2 4" xfId="27339"/>
    <cellStyle name="Normal 15 9 2 4 3" xfId="27340"/>
    <cellStyle name="Normal 15 9 2 4 4" xfId="27341"/>
    <cellStyle name="Normal 15 9 2 4 5" xfId="27342"/>
    <cellStyle name="Normal 15 9 2 5" xfId="27343"/>
    <cellStyle name="Normal 15 9 2 5 2" xfId="27344"/>
    <cellStyle name="Normal 15 9 2 5 3" xfId="27345"/>
    <cellStyle name="Normal 15 9 2 5 4" xfId="27346"/>
    <cellStyle name="Normal 15 9 2 6" xfId="27347"/>
    <cellStyle name="Normal 15 9 2 7" xfId="27348"/>
    <cellStyle name="Normal 15 9 2 8" xfId="27349"/>
    <cellStyle name="Normal 15 9 3" xfId="2158"/>
    <cellStyle name="Normal 15 9 3 2" xfId="2159"/>
    <cellStyle name="Normal 15 9 3 2 2" xfId="27350"/>
    <cellStyle name="Normal 15 9 3 2 2 2" xfId="27351"/>
    <cellStyle name="Normal 15 9 3 2 2 3" xfId="27352"/>
    <cellStyle name="Normal 15 9 3 2 2 4" xfId="27353"/>
    <cellStyle name="Normal 15 9 3 2 3" xfId="27354"/>
    <cellStyle name="Normal 15 9 3 2 4" xfId="27355"/>
    <cellStyle name="Normal 15 9 3 2 5" xfId="27356"/>
    <cellStyle name="Normal 15 9 3 3" xfId="2160"/>
    <cellStyle name="Normal 15 9 3 3 2" xfId="27357"/>
    <cellStyle name="Normal 15 9 3 3 2 2" xfId="27358"/>
    <cellStyle name="Normal 15 9 3 3 2 3" xfId="27359"/>
    <cellStyle name="Normal 15 9 3 3 2 4" xfId="27360"/>
    <cellStyle name="Normal 15 9 3 3 3" xfId="27361"/>
    <cellStyle name="Normal 15 9 3 3 4" xfId="27362"/>
    <cellStyle name="Normal 15 9 3 3 5" xfId="27363"/>
    <cellStyle name="Normal 15 9 3 4" xfId="27364"/>
    <cellStyle name="Normal 15 9 3 4 2" xfId="27365"/>
    <cellStyle name="Normal 15 9 3 4 3" xfId="27366"/>
    <cellStyle name="Normal 15 9 3 4 4" xfId="27367"/>
    <cellStyle name="Normal 15 9 3 5" xfId="27368"/>
    <cellStyle name="Normal 15 9 3 6" xfId="27369"/>
    <cellStyle name="Normal 15 9 3 7" xfId="27370"/>
    <cellStyle name="Normal 15 9 4" xfId="2161"/>
    <cellStyle name="Normal 15 9 4 2" xfId="27371"/>
    <cellStyle name="Normal 15 9 4 2 2" xfId="27372"/>
    <cellStyle name="Normal 15 9 4 2 3" xfId="27373"/>
    <cellStyle name="Normal 15 9 4 2 4" xfId="27374"/>
    <cellStyle name="Normal 15 9 4 3" xfId="27375"/>
    <cellStyle name="Normal 15 9 4 4" xfId="27376"/>
    <cellStyle name="Normal 15 9 4 5" xfId="27377"/>
    <cellStyle name="Normal 15 9 5" xfId="2162"/>
    <cellStyle name="Normal 15 9 5 2" xfId="27378"/>
    <cellStyle name="Normal 15 9 5 2 2" xfId="27379"/>
    <cellStyle name="Normal 15 9 5 2 3" xfId="27380"/>
    <cellStyle name="Normal 15 9 5 2 4" xfId="27381"/>
    <cellStyle name="Normal 15 9 5 3" xfId="27382"/>
    <cellStyle name="Normal 15 9 5 4" xfId="27383"/>
    <cellStyle name="Normal 15 9 5 5" xfId="27384"/>
    <cellStyle name="Normal 15 9 6" xfId="27385"/>
    <cellStyle name="Normal 15 9 6 2" xfId="27386"/>
    <cellStyle name="Normal 15 9 6 3" xfId="27387"/>
    <cellStyle name="Normal 15 9 6 4" xfId="27388"/>
    <cellStyle name="Normal 15 9 7" xfId="27389"/>
    <cellStyle name="Normal 15 9 8" xfId="27390"/>
    <cellStyle name="Normal 15 9 9" xfId="27391"/>
    <cellStyle name="Normal 16" xfId="2163"/>
    <cellStyle name="Normal 16 10" xfId="40332"/>
    <cellStyle name="Normal 16 2" xfId="2164"/>
    <cellStyle name="Normal 16 2 2" xfId="2165"/>
    <cellStyle name="Normal 16 2 2 2" xfId="2166"/>
    <cellStyle name="Normal 16 2 2 2 2" xfId="27392"/>
    <cellStyle name="Normal 16 2 2 2 2 2" xfId="27393"/>
    <cellStyle name="Normal 16 2 2 2 2 3" xfId="27394"/>
    <cellStyle name="Normal 16 2 2 2 2 4" xfId="27395"/>
    <cellStyle name="Normal 16 2 2 2 3" xfId="27396"/>
    <cellStyle name="Normal 16 2 2 2 4" xfId="27397"/>
    <cellStyle name="Normal 16 2 2 2 5" xfId="27398"/>
    <cellStyle name="Normal 16 2 2 3" xfId="2167"/>
    <cellStyle name="Normal 16 2 2 3 2" xfId="27399"/>
    <cellStyle name="Normal 16 2 2 3 2 2" xfId="27400"/>
    <cellStyle name="Normal 16 2 2 3 2 3" xfId="27401"/>
    <cellStyle name="Normal 16 2 2 3 2 4" xfId="27402"/>
    <cellStyle name="Normal 16 2 2 3 3" xfId="27403"/>
    <cellStyle name="Normal 16 2 2 3 4" xfId="27404"/>
    <cellStyle name="Normal 16 2 2 3 5" xfId="27405"/>
    <cellStyle name="Normal 16 2 2 4" xfId="27406"/>
    <cellStyle name="Normal 16 2 2 4 2" xfId="27407"/>
    <cellStyle name="Normal 16 2 2 4 3" xfId="27408"/>
    <cellStyle name="Normal 16 2 2 4 4" xfId="27409"/>
    <cellStyle name="Normal 16 2 2 5" xfId="27410"/>
    <cellStyle name="Normal 16 2 2 6" xfId="27411"/>
    <cellStyle name="Normal 16 2 2 7" xfId="27412"/>
    <cellStyle name="Normal 16 2 3" xfId="2168"/>
    <cellStyle name="Normal 16 2 3 2" xfId="27413"/>
    <cellStyle name="Normal 16 2 3 2 2" xfId="27414"/>
    <cellStyle name="Normal 16 2 3 2 3" xfId="27415"/>
    <cellStyle name="Normal 16 2 3 2 4" xfId="27416"/>
    <cellStyle name="Normal 16 2 3 3" xfId="27417"/>
    <cellStyle name="Normal 16 2 3 4" xfId="27418"/>
    <cellStyle name="Normal 16 2 3 5" xfId="27419"/>
    <cellStyle name="Normal 16 2 4" xfId="2169"/>
    <cellStyle name="Normal 16 2 4 2" xfId="27420"/>
    <cellStyle name="Normal 16 2 4 2 2" xfId="27421"/>
    <cellStyle name="Normal 16 2 4 2 3" xfId="27422"/>
    <cellStyle name="Normal 16 2 4 2 4" xfId="27423"/>
    <cellStyle name="Normal 16 2 4 3" xfId="27424"/>
    <cellStyle name="Normal 16 2 4 4" xfId="27425"/>
    <cellStyle name="Normal 16 2 4 5" xfId="27426"/>
    <cellStyle name="Normal 16 2 5" xfId="27427"/>
    <cellStyle name="Normal 16 2 5 2" xfId="27428"/>
    <cellStyle name="Normal 16 2 5 3" xfId="27429"/>
    <cellStyle name="Normal 16 2 5 4" xfId="27430"/>
    <cellStyle name="Normal 16 2 6" xfId="27431"/>
    <cellStyle name="Normal 16 2 7" xfId="27432"/>
    <cellStyle name="Normal 16 2 8" xfId="27433"/>
    <cellStyle name="Normal 16 3" xfId="2170"/>
    <cellStyle name="Normal 16 3 2" xfId="2171"/>
    <cellStyle name="Normal 16 3 2 2" xfId="27434"/>
    <cellStyle name="Normal 16 3 2 2 2" xfId="27435"/>
    <cellStyle name="Normal 16 3 2 2 3" xfId="27436"/>
    <cellStyle name="Normal 16 3 2 2 4" xfId="27437"/>
    <cellStyle name="Normal 16 3 2 3" xfId="27438"/>
    <cellStyle name="Normal 16 3 2 4" xfId="27439"/>
    <cellStyle name="Normal 16 3 2 5" xfId="27440"/>
    <cellStyle name="Normal 16 3 3" xfId="2172"/>
    <cellStyle name="Normal 16 3 3 2" xfId="27441"/>
    <cellStyle name="Normal 16 3 3 2 2" xfId="27442"/>
    <cellStyle name="Normal 16 3 3 2 3" xfId="27443"/>
    <cellStyle name="Normal 16 3 3 2 4" xfId="27444"/>
    <cellStyle name="Normal 16 3 3 3" xfId="27445"/>
    <cellStyle name="Normal 16 3 3 4" xfId="27446"/>
    <cellStyle name="Normal 16 3 3 5" xfId="27447"/>
    <cellStyle name="Normal 16 3 4" xfId="27448"/>
    <cellStyle name="Normal 16 3 4 2" xfId="27449"/>
    <cellStyle name="Normal 16 3 4 3" xfId="27450"/>
    <cellStyle name="Normal 16 3 4 4" xfId="27451"/>
    <cellStyle name="Normal 16 3 5" xfId="27452"/>
    <cellStyle name="Normal 16 3 6" xfId="27453"/>
    <cellStyle name="Normal 16 3 7" xfId="27454"/>
    <cellStyle name="Normal 16 4" xfId="2173"/>
    <cellStyle name="Normal 16 4 2" xfId="27455"/>
    <cellStyle name="Normal 16 4 2 2" xfId="27456"/>
    <cellStyle name="Normal 16 4 2 3" xfId="27457"/>
    <cellStyle name="Normal 16 4 2 4" xfId="27458"/>
    <cellStyle name="Normal 16 4 3" xfId="27459"/>
    <cellStyle name="Normal 16 4 4" xfId="27460"/>
    <cellStyle name="Normal 16 4 5" xfId="27461"/>
    <cellStyle name="Normal 16 5" xfId="2174"/>
    <cellStyle name="Normal 16 5 2" xfId="27462"/>
    <cellStyle name="Normal 16 5 2 2" xfId="27463"/>
    <cellStyle name="Normal 16 5 2 3" xfId="27464"/>
    <cellStyle name="Normal 16 5 2 4" xfId="27465"/>
    <cellStyle name="Normal 16 5 3" xfId="27466"/>
    <cellStyle name="Normal 16 5 4" xfId="27467"/>
    <cellStyle name="Normal 16 5 5" xfId="27468"/>
    <cellStyle name="Normal 16 6" xfId="27469"/>
    <cellStyle name="Normal 16 6 2" xfId="27470"/>
    <cellStyle name="Normal 16 6 3" xfId="27471"/>
    <cellStyle name="Normal 16 6 4" xfId="27472"/>
    <cellStyle name="Normal 16 7" xfId="27473"/>
    <cellStyle name="Normal 16 8" xfId="27474"/>
    <cellStyle name="Normal 16 9" xfId="27475"/>
    <cellStyle name="Normal 17" xfId="2175"/>
    <cellStyle name="Normal 17 10" xfId="40333"/>
    <cellStyle name="Normal 17 2" xfId="2176"/>
    <cellStyle name="Normal 17 2 2" xfId="2177"/>
    <cellStyle name="Normal 17 2 2 2" xfId="2178"/>
    <cellStyle name="Normal 17 2 2 2 2" xfId="27476"/>
    <cellStyle name="Normal 17 2 2 2 2 2" xfId="27477"/>
    <cellStyle name="Normal 17 2 2 2 2 3" xfId="27478"/>
    <cellStyle name="Normal 17 2 2 2 2 4" xfId="27479"/>
    <cellStyle name="Normal 17 2 2 2 3" xfId="27480"/>
    <cellStyle name="Normal 17 2 2 2 4" xfId="27481"/>
    <cellStyle name="Normal 17 2 2 2 5" xfId="27482"/>
    <cellStyle name="Normal 17 2 2 3" xfId="2179"/>
    <cellStyle name="Normal 17 2 2 3 2" xfId="27483"/>
    <cellStyle name="Normal 17 2 2 3 2 2" xfId="27484"/>
    <cellStyle name="Normal 17 2 2 3 2 3" xfId="27485"/>
    <cellStyle name="Normal 17 2 2 3 2 4" xfId="27486"/>
    <cellStyle name="Normal 17 2 2 3 3" xfId="27487"/>
    <cellStyle name="Normal 17 2 2 3 4" xfId="27488"/>
    <cellStyle name="Normal 17 2 2 3 5" xfId="27489"/>
    <cellStyle name="Normal 17 2 2 4" xfId="27490"/>
    <cellStyle name="Normal 17 2 2 4 2" xfId="27491"/>
    <cellStyle name="Normal 17 2 2 4 3" xfId="27492"/>
    <cellStyle name="Normal 17 2 2 4 4" xfId="27493"/>
    <cellStyle name="Normal 17 2 2 5" xfId="27494"/>
    <cellStyle name="Normal 17 2 2 6" xfId="27495"/>
    <cellStyle name="Normal 17 2 2 7" xfId="27496"/>
    <cellStyle name="Normal 17 2 3" xfId="2180"/>
    <cellStyle name="Normal 17 2 3 2" xfId="27497"/>
    <cellStyle name="Normal 17 2 3 2 2" xfId="27498"/>
    <cellStyle name="Normal 17 2 3 2 3" xfId="27499"/>
    <cellStyle name="Normal 17 2 3 2 4" xfId="27500"/>
    <cellStyle name="Normal 17 2 3 3" xfId="27501"/>
    <cellStyle name="Normal 17 2 3 4" xfId="27502"/>
    <cellStyle name="Normal 17 2 3 5" xfId="27503"/>
    <cellStyle name="Normal 17 2 4" xfId="2181"/>
    <cellStyle name="Normal 17 2 4 2" xfId="27504"/>
    <cellStyle name="Normal 17 2 4 2 2" xfId="27505"/>
    <cellStyle name="Normal 17 2 4 2 3" xfId="27506"/>
    <cellStyle name="Normal 17 2 4 2 4" xfId="27507"/>
    <cellStyle name="Normal 17 2 4 3" xfId="27508"/>
    <cellStyle name="Normal 17 2 4 4" xfId="27509"/>
    <cellStyle name="Normal 17 2 4 5" xfId="27510"/>
    <cellStyle name="Normal 17 2 5" xfId="27511"/>
    <cellStyle name="Normal 17 2 5 2" xfId="27512"/>
    <cellStyle name="Normal 17 2 5 3" xfId="27513"/>
    <cellStyle name="Normal 17 2 5 4" xfId="27514"/>
    <cellStyle name="Normal 17 2 6" xfId="27515"/>
    <cellStyle name="Normal 17 2 7" xfId="27516"/>
    <cellStyle name="Normal 17 2 8" xfId="27517"/>
    <cellStyle name="Normal 17 3" xfId="2182"/>
    <cellStyle name="Normal 17 3 2" xfId="2183"/>
    <cellStyle name="Normal 17 3 2 2" xfId="27518"/>
    <cellStyle name="Normal 17 3 2 2 2" xfId="27519"/>
    <cellStyle name="Normal 17 3 2 2 3" xfId="27520"/>
    <cellStyle name="Normal 17 3 2 2 4" xfId="27521"/>
    <cellStyle name="Normal 17 3 2 3" xfId="27522"/>
    <cellStyle name="Normal 17 3 2 4" xfId="27523"/>
    <cellStyle name="Normal 17 3 2 5" xfId="27524"/>
    <cellStyle name="Normal 17 3 3" xfId="2184"/>
    <cellStyle name="Normal 17 3 3 2" xfId="27525"/>
    <cellStyle name="Normal 17 3 3 2 2" xfId="27526"/>
    <cellStyle name="Normal 17 3 3 2 3" xfId="27527"/>
    <cellStyle name="Normal 17 3 3 2 4" xfId="27528"/>
    <cellStyle name="Normal 17 3 3 3" xfId="27529"/>
    <cellStyle name="Normal 17 3 3 4" xfId="27530"/>
    <cellStyle name="Normal 17 3 3 5" xfId="27531"/>
    <cellStyle name="Normal 17 3 4" xfId="27532"/>
    <cellStyle name="Normal 17 3 4 2" xfId="27533"/>
    <cellStyle name="Normal 17 3 4 3" xfId="27534"/>
    <cellStyle name="Normal 17 3 4 4" xfId="27535"/>
    <cellStyle name="Normal 17 3 5" xfId="27536"/>
    <cellStyle name="Normal 17 3 6" xfId="27537"/>
    <cellStyle name="Normal 17 3 7" xfId="27538"/>
    <cellStyle name="Normal 17 4" xfId="2185"/>
    <cellStyle name="Normal 17 4 2" xfId="27539"/>
    <cellStyle name="Normal 17 4 2 2" xfId="27540"/>
    <cellStyle name="Normal 17 4 2 3" xfId="27541"/>
    <cellStyle name="Normal 17 4 2 4" xfId="27542"/>
    <cellStyle name="Normal 17 4 3" xfId="27543"/>
    <cellStyle name="Normal 17 4 4" xfId="27544"/>
    <cellStyle name="Normal 17 4 5" xfId="27545"/>
    <cellStyle name="Normal 17 5" xfId="2186"/>
    <cellStyle name="Normal 17 5 2" xfId="27546"/>
    <cellStyle name="Normal 17 5 2 2" xfId="27547"/>
    <cellStyle name="Normal 17 5 2 3" xfId="27548"/>
    <cellStyle name="Normal 17 5 2 4" xfId="27549"/>
    <cellStyle name="Normal 17 5 3" xfId="27550"/>
    <cellStyle name="Normal 17 5 4" xfId="27551"/>
    <cellStyle name="Normal 17 5 5" xfId="27552"/>
    <cellStyle name="Normal 17 6" xfId="27553"/>
    <cellStyle name="Normal 17 6 2" xfId="27554"/>
    <cellStyle name="Normal 17 6 3" xfId="27555"/>
    <cellStyle name="Normal 17 6 4" xfId="27556"/>
    <cellStyle name="Normal 17 7" xfId="27557"/>
    <cellStyle name="Normal 17 8" xfId="27558"/>
    <cellStyle name="Normal 17 9" xfId="27559"/>
    <cellStyle name="Normal 18" xfId="2187"/>
    <cellStyle name="Normal 18 2" xfId="2188"/>
    <cellStyle name="Normal 18 2 2" xfId="27560"/>
    <cellStyle name="Normal 18 2 2 2" xfId="27561"/>
    <cellStyle name="Normal 18 2 2 3" xfId="27562"/>
    <cellStyle name="Normal 18 2 2 4" xfId="27563"/>
    <cellStyle name="Normal 18 2 3" xfId="27564"/>
    <cellStyle name="Normal 18 2 4" xfId="27565"/>
    <cellStyle name="Normal 18 2 5" xfId="27566"/>
    <cellStyle name="Normal 18 3" xfId="2189"/>
    <cellStyle name="Normal 18 3 2" xfId="27567"/>
    <cellStyle name="Normal 18 3 2 2" xfId="27568"/>
    <cellStyle name="Normal 18 3 2 3" xfId="27569"/>
    <cellStyle name="Normal 18 3 2 4" xfId="27570"/>
    <cellStyle name="Normal 18 3 3" xfId="27571"/>
    <cellStyle name="Normal 18 3 4" xfId="27572"/>
    <cellStyle name="Normal 18 3 5" xfId="27573"/>
    <cellStyle name="Normal 18 4" xfId="27574"/>
    <cellStyle name="Normal 18 4 2" xfId="27575"/>
    <cellStyle name="Normal 18 4 3" xfId="27576"/>
    <cellStyle name="Normal 18 4 4" xfId="27577"/>
    <cellStyle name="Normal 18 5" xfId="27578"/>
    <cellStyle name="Normal 18 6" xfId="27579"/>
    <cellStyle name="Normal 18 7" xfId="27580"/>
    <cellStyle name="Normal 18 8" xfId="40334"/>
    <cellStyle name="Normal 19" xfId="2190"/>
    <cellStyle name="Normal 19 2" xfId="2191"/>
    <cellStyle name="Normal 19 3" xfId="2192"/>
    <cellStyle name="Normal 19 4" xfId="2193"/>
    <cellStyle name="Normal 19 5" xfId="2194"/>
    <cellStyle name="Normal 19 6" xfId="27581"/>
    <cellStyle name="Normal 19 7" xfId="27582"/>
    <cellStyle name="Normal 19 8" xfId="27583"/>
    <cellStyle name="Normal 2" xfId="2195"/>
    <cellStyle name="Normal 2 10" xfId="2196"/>
    <cellStyle name="Normal 2 10 2" xfId="2197"/>
    <cellStyle name="Normal 2 10 3" xfId="2198"/>
    <cellStyle name="Normal 2 10 4" xfId="2199"/>
    <cellStyle name="Normal 2 10 5" xfId="2200"/>
    <cellStyle name="Normal 2 10 6" xfId="27584"/>
    <cellStyle name="Normal 2 10 7" xfId="27585"/>
    <cellStyle name="Normal 2 10 8" xfId="27586"/>
    <cellStyle name="Normal 2 11" xfId="2201"/>
    <cellStyle name="Normal 2 11 2" xfId="2202"/>
    <cellStyle name="Normal 2 11 3" xfId="2203"/>
    <cellStyle name="Normal 2 11 4" xfId="2204"/>
    <cellStyle name="Normal 2 11 5" xfId="2205"/>
    <cellStyle name="Normal 2 11 6" xfId="27587"/>
    <cellStyle name="Normal 2 11 7" xfId="27588"/>
    <cellStyle name="Normal 2 11 8" xfId="27589"/>
    <cellStyle name="Normal 2 12" xfId="2206"/>
    <cellStyle name="Normal 2 12 2" xfId="2207"/>
    <cellStyle name="Normal 2 12 3" xfId="2208"/>
    <cellStyle name="Normal 2 12 4" xfId="2209"/>
    <cellStyle name="Normal 2 12 5" xfId="2210"/>
    <cellStyle name="Normal 2 12 6" xfId="27590"/>
    <cellStyle name="Normal 2 12 7" xfId="27591"/>
    <cellStyle name="Normal 2 12 8" xfId="27592"/>
    <cellStyle name="Normal 2 13" xfId="2211"/>
    <cellStyle name="Normal 2 13 2" xfId="2212"/>
    <cellStyle name="Normal 2 13 3" xfId="2213"/>
    <cellStyle name="Normal 2 13 4" xfId="2214"/>
    <cellStyle name="Normal 2 13 5" xfId="2215"/>
    <cellStyle name="Normal 2 13 6" xfId="27593"/>
    <cellStyle name="Normal 2 13 7" xfId="27594"/>
    <cellStyle name="Normal 2 13 8" xfId="27595"/>
    <cellStyle name="Normal 2 14" xfId="2216"/>
    <cellStyle name="Normal 2 14 2" xfId="2217"/>
    <cellStyle name="Normal 2 14 3" xfId="2218"/>
    <cellStyle name="Normal 2 14 4" xfId="2219"/>
    <cellStyle name="Normal 2 14 5" xfId="2220"/>
    <cellStyle name="Normal 2 14 6" xfId="27596"/>
    <cellStyle name="Normal 2 14 7" xfId="27597"/>
    <cellStyle name="Normal 2 14 8" xfId="27598"/>
    <cellStyle name="Normal 2 15" xfId="2221"/>
    <cellStyle name="Normal 2 16" xfId="2222"/>
    <cellStyle name="Normal 2 17" xfId="2223"/>
    <cellStyle name="Normal 2 17 2" xfId="27599"/>
    <cellStyle name="Normal 2 17 3" xfId="27600"/>
    <cellStyle name="Normal 2 17 4" xfId="27601"/>
    <cellStyle name="Normal 2 18" xfId="2224"/>
    <cellStyle name="Normal 2 18 2" xfId="27602"/>
    <cellStyle name="Normal 2 18 3" xfId="27603"/>
    <cellStyle name="Normal 2 18 4" xfId="27604"/>
    <cellStyle name="Normal 2 19" xfId="27605"/>
    <cellStyle name="Normal 2 2" xfId="2225"/>
    <cellStyle name="Normal 2 2 10" xfId="27606"/>
    <cellStyle name="Normal 2 2 2" xfId="2226"/>
    <cellStyle name="Normal 2 2 2 2" xfId="27607"/>
    <cellStyle name="Normal 2 2 2 3" xfId="27608"/>
    <cellStyle name="Normal 2 2 3" xfId="2227"/>
    <cellStyle name="Normal 2 2 4" xfId="2228"/>
    <cellStyle name="Normal 2 2 5" xfId="2229"/>
    <cellStyle name="Normal 2 2 6" xfId="27609"/>
    <cellStyle name="Normal 2 2 7" xfId="27610"/>
    <cellStyle name="Normal 2 2 8" xfId="27611"/>
    <cellStyle name="Normal 2 2 9" xfId="27612"/>
    <cellStyle name="Normal 2 2_Sheet1" xfId="27613"/>
    <cellStyle name="Normal 2 20" xfId="27614"/>
    <cellStyle name="Normal 2 21" xfId="27615"/>
    <cellStyle name="Normal 2 22" xfId="40099"/>
    <cellStyle name="Normal 2 3" xfId="2230"/>
    <cellStyle name="Normal 2 3 2" xfId="2231"/>
    <cellStyle name="Normal 2 3 3" xfId="2232"/>
    <cellStyle name="Normal 2 3 4" xfId="2233"/>
    <cellStyle name="Normal 2 3 5" xfId="2234"/>
    <cellStyle name="Normal 2 3 6" xfId="27616"/>
    <cellStyle name="Normal 2 3 7" xfId="27617"/>
    <cellStyle name="Normal 2 3 8" xfId="27618"/>
    <cellStyle name="Normal 2 3 9" xfId="27619"/>
    <cellStyle name="Normal 2 4" xfId="2235"/>
    <cellStyle name="Normal 2 4 2" xfId="2236"/>
    <cellStyle name="Normal 2 4 2 2" xfId="27620"/>
    <cellStyle name="Normal 2 4 2 3" xfId="27621"/>
    <cellStyle name="Normal 2 4 3" xfId="2237"/>
    <cellStyle name="Normal 2 4 4" xfId="2238"/>
    <cellStyle name="Normal 2 4 5" xfId="2239"/>
    <cellStyle name="Normal 2 4 6" xfId="27622"/>
    <cellStyle name="Normal 2 4 7" xfId="27623"/>
    <cellStyle name="Normal 2 4 8" xfId="27624"/>
    <cellStyle name="Normal 2 5" xfId="2240"/>
    <cellStyle name="Normal 2 5 2" xfId="2241"/>
    <cellStyle name="Normal 2 5 3" xfId="2242"/>
    <cellStyle name="Normal 2 5 4" xfId="2243"/>
    <cellStyle name="Normal 2 5 5" xfId="2244"/>
    <cellStyle name="Normal 2 5 6" xfId="27625"/>
    <cellStyle name="Normal 2 5 7" xfId="27626"/>
    <cellStyle name="Normal 2 5 8" xfId="27627"/>
    <cellStyle name="Normal 2 6" xfId="2245"/>
    <cellStyle name="Normal 2 6 2" xfId="2246"/>
    <cellStyle name="Normal 2 6 3" xfId="2247"/>
    <cellStyle name="Normal 2 6 4" xfId="2248"/>
    <cellStyle name="Normal 2 6 5" xfId="2249"/>
    <cellStyle name="Normal 2 6 6" xfId="27628"/>
    <cellStyle name="Normal 2 6 7" xfId="27629"/>
    <cellStyle name="Normal 2 6 8" xfId="27630"/>
    <cellStyle name="Normal 2 7" xfId="2250"/>
    <cellStyle name="Normal 2 7 2" xfId="2251"/>
    <cellStyle name="Normal 2 7 3" xfId="2252"/>
    <cellStyle name="Normal 2 7 4" xfId="2253"/>
    <cellStyle name="Normal 2 7 5" xfId="2254"/>
    <cellStyle name="Normal 2 7 6" xfId="27631"/>
    <cellStyle name="Normal 2 7 7" xfId="27632"/>
    <cellStyle name="Normal 2 7 8" xfId="27633"/>
    <cellStyle name="Normal 2 8" xfId="2255"/>
    <cellStyle name="Normal 2 8 2" xfId="2256"/>
    <cellStyle name="Normal 2 8 3" xfId="2257"/>
    <cellStyle name="Normal 2 8 4" xfId="2258"/>
    <cellStyle name="Normal 2 8 5" xfId="2259"/>
    <cellStyle name="Normal 2 8 6" xfId="27634"/>
    <cellStyle name="Normal 2 8 7" xfId="27635"/>
    <cellStyle name="Normal 2 8 8" xfId="27636"/>
    <cellStyle name="Normal 2 9" xfId="2260"/>
    <cellStyle name="Normal 2 9 2" xfId="2261"/>
    <cellStyle name="Normal 2 9 3" xfId="2262"/>
    <cellStyle name="Normal 2 9 4" xfId="2263"/>
    <cellStyle name="Normal 2 9 5" xfId="2264"/>
    <cellStyle name="Normal 2 9 6" xfId="27637"/>
    <cellStyle name="Normal 2 9 7" xfId="27638"/>
    <cellStyle name="Normal 2 9 8" xfId="27639"/>
    <cellStyle name="Normal 2_asitha" xfId="27640"/>
    <cellStyle name="Normal 20" xfId="2265"/>
    <cellStyle name="Normal 20 2" xfId="27641"/>
    <cellStyle name="Normal 20 3" xfId="27642"/>
    <cellStyle name="Normal 21" xfId="2266"/>
    <cellStyle name="Normal 21 2" xfId="2267"/>
    <cellStyle name="Normal 21 2 2" xfId="2268"/>
    <cellStyle name="Normal 21 2 2 2" xfId="2269"/>
    <cellStyle name="Normal 21 2 2 2 2" xfId="27643"/>
    <cellStyle name="Normal 21 2 2 2 2 2" xfId="27644"/>
    <cellStyle name="Normal 21 2 2 2 2 3" xfId="27645"/>
    <cellStyle name="Normal 21 2 2 2 2 4" xfId="27646"/>
    <cellStyle name="Normal 21 2 2 2 3" xfId="27647"/>
    <cellStyle name="Normal 21 2 2 2 4" xfId="27648"/>
    <cellStyle name="Normal 21 2 2 2 5" xfId="27649"/>
    <cellStyle name="Normal 21 2 2 3" xfId="2270"/>
    <cellStyle name="Normal 21 2 2 3 2" xfId="27650"/>
    <cellStyle name="Normal 21 2 2 3 2 2" xfId="27651"/>
    <cellStyle name="Normal 21 2 2 3 2 3" xfId="27652"/>
    <cellStyle name="Normal 21 2 2 3 2 4" xfId="27653"/>
    <cellStyle name="Normal 21 2 2 3 3" xfId="27654"/>
    <cellStyle name="Normal 21 2 2 3 4" xfId="27655"/>
    <cellStyle name="Normal 21 2 2 3 5" xfId="27656"/>
    <cellStyle name="Normal 21 2 2 4" xfId="27657"/>
    <cellStyle name="Normal 21 2 2 4 2" xfId="27658"/>
    <cellStyle name="Normal 21 2 2 4 3" xfId="27659"/>
    <cellStyle name="Normal 21 2 2 4 4" xfId="27660"/>
    <cellStyle name="Normal 21 2 2 5" xfId="27661"/>
    <cellStyle name="Normal 21 2 2 6" xfId="27662"/>
    <cellStyle name="Normal 21 2 2 7" xfId="27663"/>
    <cellStyle name="Normal 21 2 3" xfId="2271"/>
    <cellStyle name="Normal 21 2 3 2" xfId="27664"/>
    <cellStyle name="Normal 21 2 3 2 2" xfId="27665"/>
    <cellStyle name="Normal 21 2 3 2 3" xfId="27666"/>
    <cellStyle name="Normal 21 2 3 2 4" xfId="27667"/>
    <cellStyle name="Normal 21 2 3 3" xfId="27668"/>
    <cellStyle name="Normal 21 2 3 4" xfId="27669"/>
    <cellStyle name="Normal 21 2 3 5" xfId="27670"/>
    <cellStyle name="Normal 21 2 4" xfId="2272"/>
    <cellStyle name="Normal 21 2 4 2" xfId="27671"/>
    <cellStyle name="Normal 21 2 4 2 2" xfId="27672"/>
    <cellStyle name="Normal 21 2 4 2 3" xfId="27673"/>
    <cellStyle name="Normal 21 2 4 2 4" xfId="27674"/>
    <cellStyle name="Normal 21 2 4 3" xfId="27675"/>
    <cellStyle name="Normal 21 2 4 4" xfId="27676"/>
    <cellStyle name="Normal 21 2 4 5" xfId="27677"/>
    <cellStyle name="Normal 21 2 5" xfId="27678"/>
    <cellStyle name="Normal 21 2 5 2" xfId="27679"/>
    <cellStyle name="Normal 21 2 5 3" xfId="27680"/>
    <cellStyle name="Normal 21 2 5 4" xfId="27681"/>
    <cellStyle name="Normal 21 2 6" xfId="27682"/>
    <cellStyle name="Normal 21 2 7" xfId="27683"/>
    <cellStyle name="Normal 21 2 8" xfId="27684"/>
    <cellStyle name="Normal 21 3" xfId="2273"/>
    <cellStyle name="Normal 21 3 2" xfId="2274"/>
    <cellStyle name="Normal 21 3 2 2" xfId="27685"/>
    <cellStyle name="Normal 21 3 2 2 2" xfId="27686"/>
    <cellStyle name="Normal 21 3 2 2 3" xfId="27687"/>
    <cellStyle name="Normal 21 3 2 2 4" xfId="27688"/>
    <cellStyle name="Normal 21 3 2 3" xfId="27689"/>
    <cellStyle name="Normal 21 3 2 4" xfId="27690"/>
    <cellStyle name="Normal 21 3 2 5" xfId="27691"/>
    <cellStyle name="Normal 21 3 3" xfId="2275"/>
    <cellStyle name="Normal 21 3 3 2" xfId="27692"/>
    <cellStyle name="Normal 21 3 3 2 2" xfId="27693"/>
    <cellStyle name="Normal 21 3 3 2 3" xfId="27694"/>
    <cellStyle name="Normal 21 3 3 2 4" xfId="27695"/>
    <cellStyle name="Normal 21 3 3 3" xfId="27696"/>
    <cellStyle name="Normal 21 3 3 4" xfId="27697"/>
    <cellStyle name="Normal 21 3 3 5" xfId="27698"/>
    <cellStyle name="Normal 21 3 4" xfId="27699"/>
    <cellStyle name="Normal 21 3 4 2" xfId="27700"/>
    <cellStyle name="Normal 21 3 4 3" xfId="27701"/>
    <cellStyle name="Normal 21 3 4 4" xfId="27702"/>
    <cellStyle name="Normal 21 3 5" xfId="27703"/>
    <cellStyle name="Normal 21 3 6" xfId="27704"/>
    <cellStyle name="Normal 21 3 7" xfId="27705"/>
    <cellStyle name="Normal 21 4" xfId="2276"/>
    <cellStyle name="Normal 21 4 2" xfId="27706"/>
    <cellStyle name="Normal 21 4 2 2" xfId="27707"/>
    <cellStyle name="Normal 21 4 2 3" xfId="27708"/>
    <cellStyle name="Normal 21 4 2 4" xfId="27709"/>
    <cellStyle name="Normal 21 4 3" xfId="27710"/>
    <cellStyle name="Normal 21 4 4" xfId="27711"/>
    <cellStyle name="Normal 21 4 5" xfId="27712"/>
    <cellStyle name="Normal 21 5" xfId="2277"/>
    <cellStyle name="Normal 21 5 2" xfId="27713"/>
    <cellStyle name="Normal 21 5 2 2" xfId="27714"/>
    <cellStyle name="Normal 21 5 2 3" xfId="27715"/>
    <cellStyle name="Normal 21 5 2 4" xfId="27716"/>
    <cellStyle name="Normal 21 5 3" xfId="27717"/>
    <cellStyle name="Normal 21 5 4" xfId="27718"/>
    <cellStyle name="Normal 21 5 5" xfId="27719"/>
    <cellStyle name="Normal 21 6" xfId="27720"/>
    <cellStyle name="Normal 21 6 2" xfId="27721"/>
    <cellStyle name="Normal 21 6 3" xfId="27722"/>
    <cellStyle name="Normal 21 6 4" xfId="27723"/>
    <cellStyle name="Normal 21 7" xfId="27724"/>
    <cellStyle name="Normal 21 8" xfId="27725"/>
    <cellStyle name="Normal 21 9" xfId="27726"/>
    <cellStyle name="Normal 22" xfId="2278"/>
    <cellStyle name="Normal 22 2" xfId="2279"/>
    <cellStyle name="Normal 22 2 2" xfId="27727"/>
    <cellStyle name="Normal 22 2 2 2" xfId="27728"/>
    <cellStyle name="Normal 22 2 2 3" xfId="27729"/>
    <cellStyle name="Normal 22 2 2 4" xfId="27730"/>
    <cellStyle name="Normal 22 2 3" xfId="27731"/>
    <cellStyle name="Normal 22 2 4" xfId="27732"/>
    <cellStyle name="Normal 22 2 5" xfId="27733"/>
    <cellStyle name="Normal 22 3" xfId="2280"/>
    <cellStyle name="Normal 22 3 2" xfId="27734"/>
    <cellStyle name="Normal 22 3 2 2" xfId="27735"/>
    <cellStyle name="Normal 22 3 2 3" xfId="27736"/>
    <cellStyle name="Normal 22 3 2 4" xfId="27737"/>
    <cellStyle name="Normal 22 3 3" xfId="27738"/>
    <cellStyle name="Normal 22 3 4" xfId="27739"/>
    <cellStyle name="Normal 22 3 5" xfId="27740"/>
    <cellStyle name="Normal 22 4" xfId="27741"/>
    <cellStyle name="Normal 22 4 2" xfId="27742"/>
    <cellStyle name="Normal 22 4 3" xfId="27743"/>
    <cellStyle name="Normal 22 4 4" xfId="27744"/>
    <cellStyle name="Normal 22 5" xfId="27745"/>
    <cellStyle name="Normal 22 6" xfId="27746"/>
    <cellStyle name="Normal 22 7" xfId="27747"/>
    <cellStyle name="Normal 22 8" xfId="40335"/>
    <cellStyle name="Normal 23" xfId="2281"/>
    <cellStyle name="Normal 23 2" xfId="2282"/>
    <cellStyle name="Normal 23 2 2" xfId="2283"/>
    <cellStyle name="Normal 23 2 2 2" xfId="2284"/>
    <cellStyle name="Normal 23 2 2 2 2" xfId="27748"/>
    <cellStyle name="Normal 23 2 2 2 2 2" xfId="27749"/>
    <cellStyle name="Normal 23 2 2 2 2 3" xfId="27750"/>
    <cellStyle name="Normal 23 2 2 2 2 4" xfId="27751"/>
    <cellStyle name="Normal 23 2 2 2 3" xfId="27752"/>
    <cellStyle name="Normal 23 2 2 2 4" xfId="27753"/>
    <cellStyle name="Normal 23 2 2 2 5" xfId="27754"/>
    <cellStyle name="Normal 23 2 2 3" xfId="2285"/>
    <cellStyle name="Normal 23 2 2 3 2" xfId="27755"/>
    <cellStyle name="Normal 23 2 2 3 2 2" xfId="27756"/>
    <cellStyle name="Normal 23 2 2 3 2 3" xfId="27757"/>
    <cellStyle name="Normal 23 2 2 3 2 4" xfId="27758"/>
    <cellStyle name="Normal 23 2 2 3 3" xfId="27759"/>
    <cellStyle name="Normal 23 2 2 3 4" xfId="27760"/>
    <cellStyle name="Normal 23 2 2 3 5" xfId="27761"/>
    <cellStyle name="Normal 23 2 2 4" xfId="27762"/>
    <cellStyle name="Normal 23 2 2 4 2" xfId="27763"/>
    <cellStyle name="Normal 23 2 2 4 3" xfId="27764"/>
    <cellStyle name="Normal 23 2 2 4 4" xfId="27765"/>
    <cellStyle name="Normal 23 2 2 5" xfId="27766"/>
    <cellStyle name="Normal 23 2 2 6" xfId="27767"/>
    <cellStyle name="Normal 23 2 2 7" xfId="27768"/>
    <cellStyle name="Normal 23 2 3" xfId="2286"/>
    <cellStyle name="Normal 23 2 3 2" xfId="27769"/>
    <cellStyle name="Normal 23 2 3 2 2" xfId="27770"/>
    <cellStyle name="Normal 23 2 3 2 3" xfId="27771"/>
    <cellStyle name="Normal 23 2 3 2 4" xfId="27772"/>
    <cellStyle name="Normal 23 2 3 3" xfId="27773"/>
    <cellStyle name="Normal 23 2 3 4" xfId="27774"/>
    <cellStyle name="Normal 23 2 3 5" xfId="27775"/>
    <cellStyle name="Normal 23 2 4" xfId="2287"/>
    <cellStyle name="Normal 23 2 4 2" xfId="27776"/>
    <cellStyle name="Normal 23 2 4 2 2" xfId="27777"/>
    <cellStyle name="Normal 23 2 4 2 3" xfId="27778"/>
    <cellStyle name="Normal 23 2 4 2 4" xfId="27779"/>
    <cellStyle name="Normal 23 2 4 3" xfId="27780"/>
    <cellStyle name="Normal 23 2 4 4" xfId="27781"/>
    <cellStyle name="Normal 23 2 4 5" xfId="27782"/>
    <cellStyle name="Normal 23 2 5" xfId="27783"/>
    <cellStyle name="Normal 23 2 5 2" xfId="27784"/>
    <cellStyle name="Normal 23 2 5 3" xfId="27785"/>
    <cellStyle name="Normal 23 2 5 4" xfId="27786"/>
    <cellStyle name="Normal 23 2 6" xfId="27787"/>
    <cellStyle name="Normal 23 2 7" xfId="27788"/>
    <cellStyle name="Normal 23 2 8" xfId="27789"/>
    <cellStyle name="Normal 23 3" xfId="2288"/>
    <cellStyle name="Normal 23 3 2" xfId="2289"/>
    <cellStyle name="Normal 23 3 2 2" xfId="27790"/>
    <cellStyle name="Normal 23 3 2 2 2" xfId="27791"/>
    <cellStyle name="Normal 23 3 2 2 3" xfId="27792"/>
    <cellStyle name="Normal 23 3 2 2 4" xfId="27793"/>
    <cellStyle name="Normal 23 3 2 3" xfId="27794"/>
    <cellStyle name="Normal 23 3 2 4" xfId="27795"/>
    <cellStyle name="Normal 23 3 2 5" xfId="27796"/>
    <cellStyle name="Normal 23 3 3" xfId="2290"/>
    <cellStyle name="Normal 23 3 3 2" xfId="27797"/>
    <cellStyle name="Normal 23 3 3 2 2" xfId="27798"/>
    <cellStyle name="Normal 23 3 3 2 3" xfId="27799"/>
    <cellStyle name="Normal 23 3 3 2 4" xfId="27800"/>
    <cellStyle name="Normal 23 3 3 3" xfId="27801"/>
    <cellStyle name="Normal 23 3 3 4" xfId="27802"/>
    <cellStyle name="Normal 23 3 3 5" xfId="27803"/>
    <cellStyle name="Normal 23 3 4" xfId="27804"/>
    <cellStyle name="Normal 23 3 4 2" xfId="27805"/>
    <cellStyle name="Normal 23 3 4 3" xfId="27806"/>
    <cellStyle name="Normal 23 3 4 4" xfId="27807"/>
    <cellStyle name="Normal 23 3 5" xfId="27808"/>
    <cellStyle name="Normal 23 3 6" xfId="27809"/>
    <cellStyle name="Normal 23 3 7" xfId="27810"/>
    <cellStyle name="Normal 23 4" xfId="2291"/>
    <cellStyle name="Normal 23 4 2" xfId="27811"/>
    <cellStyle name="Normal 23 4 2 2" xfId="27812"/>
    <cellStyle name="Normal 23 4 2 3" xfId="27813"/>
    <cellStyle name="Normal 23 4 2 4" xfId="27814"/>
    <cellStyle name="Normal 23 4 3" xfId="27815"/>
    <cellStyle name="Normal 23 4 4" xfId="27816"/>
    <cellStyle name="Normal 23 4 5" xfId="27817"/>
    <cellStyle name="Normal 23 5" xfId="2292"/>
    <cellStyle name="Normal 23 5 2" xfId="27818"/>
    <cellStyle name="Normal 23 5 2 2" xfId="27819"/>
    <cellStyle name="Normal 23 5 2 3" xfId="27820"/>
    <cellStyle name="Normal 23 5 2 4" xfId="27821"/>
    <cellStyle name="Normal 23 5 3" xfId="27822"/>
    <cellStyle name="Normal 23 5 4" xfId="27823"/>
    <cellStyle name="Normal 23 5 5" xfId="27824"/>
    <cellStyle name="Normal 23 6" xfId="27825"/>
    <cellStyle name="Normal 23 6 2" xfId="27826"/>
    <cellStyle name="Normal 23 6 3" xfId="27827"/>
    <cellStyle name="Normal 23 6 4" xfId="27828"/>
    <cellStyle name="Normal 23 7" xfId="27829"/>
    <cellStyle name="Normal 23 8" xfId="27830"/>
    <cellStyle name="Normal 23 9" xfId="27831"/>
    <cellStyle name="Normal 24" xfId="2293"/>
    <cellStyle name="Normal 24 2" xfId="2294"/>
    <cellStyle name="Normal 24 2 2" xfId="27832"/>
    <cellStyle name="Normal 24 2 2 2" xfId="27833"/>
    <cellStyle name="Normal 24 2 2 3" xfId="27834"/>
    <cellStyle name="Normal 24 2 2 4" xfId="27835"/>
    <cellStyle name="Normal 24 2 3" xfId="27836"/>
    <cellStyle name="Normal 24 2 4" xfId="27837"/>
    <cellStyle name="Normal 24 2 5" xfId="27838"/>
    <cellStyle name="Normal 24 3" xfId="2295"/>
    <cellStyle name="Normal 24 3 2" xfId="27839"/>
    <cellStyle name="Normal 24 3 2 2" xfId="27840"/>
    <cellStyle name="Normal 24 3 2 3" xfId="27841"/>
    <cellStyle name="Normal 24 3 2 4" xfId="27842"/>
    <cellStyle name="Normal 24 3 3" xfId="27843"/>
    <cellStyle name="Normal 24 3 4" xfId="27844"/>
    <cellStyle name="Normal 24 3 5" xfId="27845"/>
    <cellStyle name="Normal 24 4" xfId="27846"/>
    <cellStyle name="Normal 24 4 2" xfId="27847"/>
    <cellStyle name="Normal 24 4 3" xfId="27848"/>
    <cellStyle name="Normal 24 4 4" xfId="27849"/>
    <cellStyle name="Normal 24 5" xfId="27850"/>
    <cellStyle name="Normal 24 6" xfId="27851"/>
    <cellStyle name="Normal 24 7" xfId="27852"/>
    <cellStyle name="Normal 24 8" xfId="40336"/>
    <cellStyle name="Normal 25" xfId="2296"/>
    <cellStyle name="Normal 25 2" xfId="2297"/>
    <cellStyle name="Normal 25 2 2" xfId="27853"/>
    <cellStyle name="Normal 25 2 2 2" xfId="27854"/>
    <cellStyle name="Normal 25 2 2 3" xfId="27855"/>
    <cellStyle name="Normal 25 2 2 4" xfId="27856"/>
    <cellStyle name="Normal 25 2 3" xfId="27857"/>
    <cellStyle name="Normal 25 2 4" xfId="27858"/>
    <cellStyle name="Normal 25 2 5" xfId="27859"/>
    <cellStyle name="Normal 25 3" xfId="2298"/>
    <cellStyle name="Normal 25 3 2" xfId="27860"/>
    <cellStyle name="Normal 25 3 2 2" xfId="27861"/>
    <cellStyle name="Normal 25 3 2 3" xfId="27862"/>
    <cellStyle name="Normal 25 3 2 4" xfId="27863"/>
    <cellStyle name="Normal 25 3 3" xfId="27864"/>
    <cellStyle name="Normal 25 3 4" xfId="27865"/>
    <cellStyle name="Normal 25 3 5" xfId="27866"/>
    <cellStyle name="Normal 25 4" xfId="27867"/>
    <cellStyle name="Normal 25 4 2" xfId="27868"/>
    <cellStyle name="Normal 25 4 3" xfId="27869"/>
    <cellStyle name="Normal 25 4 4" xfId="27870"/>
    <cellStyle name="Normal 25 5" xfId="27871"/>
    <cellStyle name="Normal 25 6" xfId="27872"/>
    <cellStyle name="Normal 25 7" xfId="27873"/>
    <cellStyle name="Normal 25 8" xfId="40337"/>
    <cellStyle name="Normal 26" xfId="2299"/>
    <cellStyle name="Normal 26 2" xfId="27874"/>
    <cellStyle name="Normal 26 2 2" xfId="27875"/>
    <cellStyle name="Normal 26 2 3" xfId="27876"/>
    <cellStyle name="Normal 26 2 4" xfId="27877"/>
    <cellStyle name="Normal 26 3" xfId="27878"/>
    <cellStyle name="Normal 26 4" xfId="27879"/>
    <cellStyle name="Normal 26 5" xfId="27880"/>
    <cellStyle name="Normal 27" xfId="2300"/>
    <cellStyle name="Normal 27 2" xfId="27881"/>
    <cellStyle name="Normal 27 2 2" xfId="27882"/>
    <cellStyle name="Normal 27 2 3" xfId="27883"/>
    <cellStyle name="Normal 27 2 4" xfId="27884"/>
    <cellStyle name="Normal 27 3" xfId="27885"/>
    <cellStyle name="Normal 27 4" xfId="27886"/>
    <cellStyle name="Normal 27 5" xfId="27887"/>
    <cellStyle name="Normal 28" xfId="2301"/>
    <cellStyle name="Normal 28 2" xfId="27888"/>
    <cellStyle name="Normal 28 2 2" xfId="27889"/>
    <cellStyle name="Normal 28 2 3" xfId="27890"/>
    <cellStyle name="Normal 28 2 4" xfId="27891"/>
    <cellStyle name="Normal 28 3" xfId="27892"/>
    <cellStyle name="Normal 28 4" xfId="27893"/>
    <cellStyle name="Normal 28 5" xfId="27894"/>
    <cellStyle name="Normal 29" xfId="2302"/>
    <cellStyle name="Normal 29 2" xfId="27895"/>
    <cellStyle name="Normal 29 3" xfId="27896"/>
    <cellStyle name="Normal 3" xfId="2303"/>
    <cellStyle name="Normal 3 10" xfId="2304"/>
    <cellStyle name="Normal 3 10 2" xfId="2305"/>
    <cellStyle name="Normal 3 10 3" xfId="2306"/>
    <cellStyle name="Normal 3 10 4" xfId="2307"/>
    <cellStyle name="Normal 3 10 5" xfId="2308"/>
    <cellStyle name="Normal 3 10 6" xfId="27897"/>
    <cellStyle name="Normal 3 10 7" xfId="27898"/>
    <cellStyle name="Normal 3 10 8" xfId="27899"/>
    <cellStyle name="Normal 3 11" xfId="2309"/>
    <cellStyle name="Normal 3 11 2" xfId="2310"/>
    <cellStyle name="Normal 3 11 3" xfId="2311"/>
    <cellStyle name="Normal 3 11 4" xfId="2312"/>
    <cellStyle name="Normal 3 11 5" xfId="2313"/>
    <cellStyle name="Normal 3 11 6" xfId="27900"/>
    <cellStyle name="Normal 3 11 7" xfId="27901"/>
    <cellStyle name="Normal 3 11 8" xfId="27902"/>
    <cellStyle name="Normal 3 12" xfId="2314"/>
    <cellStyle name="Normal 3 12 2" xfId="2315"/>
    <cellStyle name="Normal 3 12 3" xfId="2316"/>
    <cellStyle name="Normal 3 12 4" xfId="2317"/>
    <cellStyle name="Normal 3 12 5" xfId="2318"/>
    <cellStyle name="Normal 3 12 6" xfId="27903"/>
    <cellStyle name="Normal 3 12 7" xfId="27904"/>
    <cellStyle name="Normal 3 12 8" xfId="27905"/>
    <cellStyle name="Normal 3 13" xfId="2319"/>
    <cellStyle name="Normal 3 13 2" xfId="2320"/>
    <cellStyle name="Normal 3 13 3" xfId="2321"/>
    <cellStyle name="Normal 3 13 4" xfId="2322"/>
    <cellStyle name="Normal 3 13 5" xfId="2323"/>
    <cellStyle name="Normal 3 13 6" xfId="27906"/>
    <cellStyle name="Normal 3 13 7" xfId="27907"/>
    <cellStyle name="Normal 3 13 8" xfId="27908"/>
    <cellStyle name="Normal 3 14" xfId="2324"/>
    <cellStyle name="Normal 3 15" xfId="2325"/>
    <cellStyle name="Normal 3 16" xfId="2326"/>
    <cellStyle name="Normal 3 17" xfId="2327"/>
    <cellStyle name="Normal 3 18" xfId="27909"/>
    <cellStyle name="Normal 3 19" xfId="27910"/>
    <cellStyle name="Normal 3 2" xfId="2328"/>
    <cellStyle name="Normal 3 2 10" xfId="2329"/>
    <cellStyle name="Normal 3 2 10 2" xfId="2330"/>
    <cellStyle name="Normal 3 2 10 2 2" xfId="2331"/>
    <cellStyle name="Normal 3 2 10 2 2 2" xfId="27911"/>
    <cellStyle name="Normal 3 2 10 2 2 2 2" xfId="27912"/>
    <cellStyle name="Normal 3 2 10 2 2 2 3" xfId="27913"/>
    <cellStyle name="Normal 3 2 10 2 2 2 4" xfId="27914"/>
    <cellStyle name="Normal 3 2 10 2 2 3" xfId="27915"/>
    <cellStyle name="Normal 3 2 10 2 2 4" xfId="27916"/>
    <cellStyle name="Normal 3 2 10 2 2 5" xfId="27917"/>
    <cellStyle name="Normal 3 2 10 2 3" xfId="2332"/>
    <cellStyle name="Normal 3 2 10 2 3 2" xfId="27918"/>
    <cellStyle name="Normal 3 2 10 2 3 2 2" xfId="27919"/>
    <cellStyle name="Normal 3 2 10 2 3 2 3" xfId="27920"/>
    <cellStyle name="Normal 3 2 10 2 3 2 4" xfId="27921"/>
    <cellStyle name="Normal 3 2 10 2 3 3" xfId="27922"/>
    <cellStyle name="Normal 3 2 10 2 3 4" xfId="27923"/>
    <cellStyle name="Normal 3 2 10 2 3 5" xfId="27924"/>
    <cellStyle name="Normal 3 2 10 2 4" xfId="27925"/>
    <cellStyle name="Normal 3 2 10 2 4 2" xfId="27926"/>
    <cellStyle name="Normal 3 2 10 2 4 3" xfId="27927"/>
    <cellStyle name="Normal 3 2 10 2 4 4" xfId="27928"/>
    <cellStyle name="Normal 3 2 10 2 5" xfId="27929"/>
    <cellStyle name="Normal 3 2 10 2 6" xfId="27930"/>
    <cellStyle name="Normal 3 2 10 2 7" xfId="27931"/>
    <cellStyle name="Normal 3 2 10 3" xfId="2333"/>
    <cellStyle name="Normal 3 2 10 3 2" xfId="27932"/>
    <cellStyle name="Normal 3 2 10 3 2 2" xfId="27933"/>
    <cellStyle name="Normal 3 2 10 3 2 3" xfId="27934"/>
    <cellStyle name="Normal 3 2 10 3 2 4" xfId="27935"/>
    <cellStyle name="Normal 3 2 10 3 3" xfId="27936"/>
    <cellStyle name="Normal 3 2 10 3 4" xfId="27937"/>
    <cellStyle name="Normal 3 2 10 3 5" xfId="27938"/>
    <cellStyle name="Normal 3 2 10 4" xfId="2334"/>
    <cellStyle name="Normal 3 2 10 4 2" xfId="27939"/>
    <cellStyle name="Normal 3 2 10 4 2 2" xfId="27940"/>
    <cellStyle name="Normal 3 2 10 4 2 3" xfId="27941"/>
    <cellStyle name="Normal 3 2 10 4 2 4" xfId="27942"/>
    <cellStyle name="Normal 3 2 10 4 3" xfId="27943"/>
    <cellStyle name="Normal 3 2 10 4 4" xfId="27944"/>
    <cellStyle name="Normal 3 2 10 4 5" xfId="27945"/>
    <cellStyle name="Normal 3 2 10 5" xfId="27946"/>
    <cellStyle name="Normal 3 2 10 5 2" xfId="27947"/>
    <cellStyle name="Normal 3 2 10 5 3" xfId="27948"/>
    <cellStyle name="Normal 3 2 10 5 4" xfId="27949"/>
    <cellStyle name="Normal 3 2 10 6" xfId="27950"/>
    <cellStyle name="Normal 3 2 10 7" xfId="27951"/>
    <cellStyle name="Normal 3 2 10 8" xfId="27952"/>
    <cellStyle name="Normal 3 2 11" xfId="2335"/>
    <cellStyle name="Normal 3 2 11 2" xfId="2336"/>
    <cellStyle name="Normal 3 2 11 2 2" xfId="27953"/>
    <cellStyle name="Normal 3 2 11 2 2 2" xfId="27954"/>
    <cellStyle name="Normal 3 2 11 2 2 3" xfId="27955"/>
    <cellStyle name="Normal 3 2 11 2 2 4" xfId="27956"/>
    <cellStyle name="Normal 3 2 11 2 3" xfId="27957"/>
    <cellStyle name="Normal 3 2 11 2 4" xfId="27958"/>
    <cellStyle name="Normal 3 2 11 2 5" xfId="27959"/>
    <cellStyle name="Normal 3 2 11 3" xfId="2337"/>
    <cellStyle name="Normal 3 2 11 3 2" xfId="27960"/>
    <cellStyle name="Normal 3 2 11 3 2 2" xfId="27961"/>
    <cellStyle name="Normal 3 2 11 3 2 3" xfId="27962"/>
    <cellStyle name="Normal 3 2 11 3 2 4" xfId="27963"/>
    <cellStyle name="Normal 3 2 11 3 3" xfId="27964"/>
    <cellStyle name="Normal 3 2 11 3 4" xfId="27965"/>
    <cellStyle name="Normal 3 2 11 3 5" xfId="27966"/>
    <cellStyle name="Normal 3 2 11 4" xfId="27967"/>
    <cellStyle name="Normal 3 2 11 4 2" xfId="27968"/>
    <cellStyle name="Normal 3 2 11 4 3" xfId="27969"/>
    <cellStyle name="Normal 3 2 11 4 4" xfId="27970"/>
    <cellStyle name="Normal 3 2 11 5" xfId="27971"/>
    <cellStyle name="Normal 3 2 11 6" xfId="27972"/>
    <cellStyle name="Normal 3 2 11 7" xfId="27973"/>
    <cellStyle name="Normal 3 2 12" xfId="2338"/>
    <cellStyle name="Normal 3 2 12 2" xfId="27974"/>
    <cellStyle name="Normal 3 2 12 2 2" xfId="27975"/>
    <cellStyle name="Normal 3 2 12 2 3" xfId="27976"/>
    <cellStyle name="Normal 3 2 12 2 4" xfId="27977"/>
    <cellStyle name="Normal 3 2 12 3" xfId="27978"/>
    <cellStyle name="Normal 3 2 12 4" xfId="27979"/>
    <cellStyle name="Normal 3 2 12 5" xfId="27980"/>
    <cellStyle name="Normal 3 2 13" xfId="2339"/>
    <cellStyle name="Normal 3 2 13 2" xfId="27981"/>
    <cellStyle name="Normal 3 2 13 2 2" xfId="27982"/>
    <cellStyle name="Normal 3 2 13 2 3" xfId="27983"/>
    <cellStyle name="Normal 3 2 13 2 4" xfId="27984"/>
    <cellStyle name="Normal 3 2 13 3" xfId="27985"/>
    <cellStyle name="Normal 3 2 13 4" xfId="27986"/>
    <cellStyle name="Normal 3 2 13 5" xfId="27987"/>
    <cellStyle name="Normal 3 2 14" xfId="27988"/>
    <cellStyle name="Normal 3 2 14 2" xfId="27989"/>
    <cellStyle name="Normal 3 2 14 3" xfId="27990"/>
    <cellStyle name="Normal 3 2 14 4" xfId="27991"/>
    <cellStyle name="Normal 3 2 15" xfId="27992"/>
    <cellStyle name="Normal 3 2 16" xfId="27993"/>
    <cellStyle name="Normal 3 2 17" xfId="27994"/>
    <cellStyle name="Normal 3 2 2" xfId="2340"/>
    <cellStyle name="Normal 3 2 2 10" xfId="2341"/>
    <cellStyle name="Normal 3 2 2 11" xfId="2342"/>
    <cellStyle name="Normal 3 2 2 12" xfId="2343"/>
    <cellStyle name="Normal 3 2 2 13" xfId="2344"/>
    <cellStyle name="Normal 3 2 2 14" xfId="27995"/>
    <cellStyle name="Normal 3 2 2 15" xfId="27996"/>
    <cellStyle name="Normal 3 2 2 16" xfId="27997"/>
    <cellStyle name="Normal 3 2 2 2" xfId="2345"/>
    <cellStyle name="Normal 3 2 2 2 10" xfId="27998"/>
    <cellStyle name="Normal 3 2 2 2 11" xfId="27999"/>
    <cellStyle name="Normal 3 2 2 2 2" xfId="2346"/>
    <cellStyle name="Normal 3 2 2 2 2 2" xfId="2347"/>
    <cellStyle name="Normal 3 2 2 2 2 2 10" xfId="28000"/>
    <cellStyle name="Normal 3 2 2 2 2 2 2" xfId="2348"/>
    <cellStyle name="Normal 3 2 2 2 2 2 2 2" xfId="2349"/>
    <cellStyle name="Normal 3 2 2 2 2 2 2 3" xfId="2350"/>
    <cellStyle name="Normal 3 2 2 2 2 2 2 4" xfId="2351"/>
    <cellStyle name="Normal 3 2 2 2 2 2 2 5" xfId="2352"/>
    <cellStyle name="Normal 3 2 2 2 2 2 2 6" xfId="28001"/>
    <cellStyle name="Normal 3 2 2 2 2 2 2 7" xfId="28002"/>
    <cellStyle name="Normal 3 2 2 2 2 2 2 8" xfId="28003"/>
    <cellStyle name="Normal 3 2 2 2 2 2 3" xfId="2353"/>
    <cellStyle name="Normal 3 2 2 2 2 2 3 2" xfId="2354"/>
    <cellStyle name="Normal 3 2 2 2 2 2 3 2 2" xfId="2355"/>
    <cellStyle name="Normal 3 2 2 2 2 2 3 2 2 2" xfId="28004"/>
    <cellStyle name="Normal 3 2 2 2 2 2 3 2 2 2 2" xfId="28005"/>
    <cellStyle name="Normal 3 2 2 2 2 2 3 2 2 2 3" xfId="28006"/>
    <cellStyle name="Normal 3 2 2 2 2 2 3 2 2 2 4" xfId="28007"/>
    <cellStyle name="Normal 3 2 2 2 2 2 3 2 2 3" xfId="28008"/>
    <cellStyle name="Normal 3 2 2 2 2 2 3 2 2 4" xfId="28009"/>
    <cellStyle name="Normal 3 2 2 2 2 2 3 2 2 5" xfId="28010"/>
    <cellStyle name="Normal 3 2 2 2 2 2 3 2 3" xfId="2356"/>
    <cellStyle name="Normal 3 2 2 2 2 2 3 2 3 2" xfId="28011"/>
    <cellStyle name="Normal 3 2 2 2 2 2 3 2 3 2 2" xfId="28012"/>
    <cellStyle name="Normal 3 2 2 2 2 2 3 2 3 2 3" xfId="28013"/>
    <cellStyle name="Normal 3 2 2 2 2 2 3 2 3 2 4" xfId="28014"/>
    <cellStyle name="Normal 3 2 2 2 2 2 3 2 3 3" xfId="28015"/>
    <cellStyle name="Normal 3 2 2 2 2 2 3 2 3 4" xfId="28016"/>
    <cellStyle name="Normal 3 2 2 2 2 2 3 2 3 5" xfId="28017"/>
    <cellStyle name="Normal 3 2 2 2 2 2 3 2 4" xfId="28018"/>
    <cellStyle name="Normal 3 2 2 2 2 2 3 2 4 2" xfId="28019"/>
    <cellStyle name="Normal 3 2 2 2 2 2 3 2 4 3" xfId="28020"/>
    <cellStyle name="Normal 3 2 2 2 2 2 3 2 4 4" xfId="28021"/>
    <cellStyle name="Normal 3 2 2 2 2 2 3 2 5" xfId="28022"/>
    <cellStyle name="Normal 3 2 2 2 2 2 3 2 6" xfId="28023"/>
    <cellStyle name="Normal 3 2 2 2 2 2 3 2 7" xfId="28024"/>
    <cellStyle name="Normal 3 2 2 2 2 2 3 3" xfId="2357"/>
    <cellStyle name="Normal 3 2 2 2 2 2 3 3 2" xfId="28025"/>
    <cellStyle name="Normal 3 2 2 2 2 2 3 3 2 2" xfId="28026"/>
    <cellStyle name="Normal 3 2 2 2 2 2 3 3 2 3" xfId="28027"/>
    <cellStyle name="Normal 3 2 2 2 2 2 3 3 2 4" xfId="28028"/>
    <cellStyle name="Normal 3 2 2 2 2 2 3 3 3" xfId="28029"/>
    <cellStyle name="Normal 3 2 2 2 2 2 3 3 4" xfId="28030"/>
    <cellStyle name="Normal 3 2 2 2 2 2 3 3 5" xfId="28031"/>
    <cellStyle name="Normal 3 2 2 2 2 2 3 4" xfId="2358"/>
    <cellStyle name="Normal 3 2 2 2 2 2 3 4 2" xfId="28032"/>
    <cellStyle name="Normal 3 2 2 2 2 2 3 4 2 2" xfId="28033"/>
    <cellStyle name="Normal 3 2 2 2 2 2 3 4 2 3" xfId="28034"/>
    <cellStyle name="Normal 3 2 2 2 2 2 3 4 2 4" xfId="28035"/>
    <cellStyle name="Normal 3 2 2 2 2 2 3 4 3" xfId="28036"/>
    <cellStyle name="Normal 3 2 2 2 2 2 3 4 4" xfId="28037"/>
    <cellStyle name="Normal 3 2 2 2 2 2 3 4 5" xfId="28038"/>
    <cellStyle name="Normal 3 2 2 2 2 2 3 5" xfId="28039"/>
    <cellStyle name="Normal 3 2 2 2 2 2 3 5 2" xfId="28040"/>
    <cellStyle name="Normal 3 2 2 2 2 2 3 5 3" xfId="28041"/>
    <cellStyle name="Normal 3 2 2 2 2 2 3 5 4" xfId="28042"/>
    <cellStyle name="Normal 3 2 2 2 2 2 3 6" xfId="28043"/>
    <cellStyle name="Normal 3 2 2 2 2 2 3 7" xfId="28044"/>
    <cellStyle name="Normal 3 2 2 2 2 2 3 8" xfId="28045"/>
    <cellStyle name="Normal 3 2 2 2 2 2 4" xfId="2359"/>
    <cellStyle name="Normal 3 2 2 2 2 2 4 2" xfId="2360"/>
    <cellStyle name="Normal 3 2 2 2 2 2 4 2 2" xfId="28046"/>
    <cellStyle name="Normal 3 2 2 2 2 2 4 2 2 2" xfId="28047"/>
    <cellStyle name="Normal 3 2 2 2 2 2 4 2 2 3" xfId="28048"/>
    <cellStyle name="Normal 3 2 2 2 2 2 4 2 2 4" xfId="28049"/>
    <cellStyle name="Normal 3 2 2 2 2 2 4 2 3" xfId="28050"/>
    <cellStyle name="Normal 3 2 2 2 2 2 4 2 4" xfId="28051"/>
    <cellStyle name="Normal 3 2 2 2 2 2 4 2 5" xfId="28052"/>
    <cellStyle name="Normal 3 2 2 2 2 2 4 3" xfId="2361"/>
    <cellStyle name="Normal 3 2 2 2 2 2 4 3 2" xfId="28053"/>
    <cellStyle name="Normal 3 2 2 2 2 2 4 3 2 2" xfId="28054"/>
    <cellStyle name="Normal 3 2 2 2 2 2 4 3 2 3" xfId="28055"/>
    <cellStyle name="Normal 3 2 2 2 2 2 4 3 2 4" xfId="28056"/>
    <cellStyle name="Normal 3 2 2 2 2 2 4 3 3" xfId="28057"/>
    <cellStyle name="Normal 3 2 2 2 2 2 4 3 4" xfId="28058"/>
    <cellStyle name="Normal 3 2 2 2 2 2 4 3 5" xfId="28059"/>
    <cellStyle name="Normal 3 2 2 2 2 2 4 4" xfId="28060"/>
    <cellStyle name="Normal 3 2 2 2 2 2 4 4 2" xfId="28061"/>
    <cellStyle name="Normal 3 2 2 2 2 2 4 4 3" xfId="28062"/>
    <cellStyle name="Normal 3 2 2 2 2 2 4 4 4" xfId="28063"/>
    <cellStyle name="Normal 3 2 2 2 2 2 4 5" xfId="28064"/>
    <cellStyle name="Normal 3 2 2 2 2 2 4 6" xfId="28065"/>
    <cellStyle name="Normal 3 2 2 2 2 2 4 7" xfId="28066"/>
    <cellStyle name="Normal 3 2 2 2 2 2 5" xfId="2362"/>
    <cellStyle name="Normal 3 2 2 2 2 2 5 2" xfId="28067"/>
    <cellStyle name="Normal 3 2 2 2 2 2 5 2 2" xfId="28068"/>
    <cellStyle name="Normal 3 2 2 2 2 2 5 2 3" xfId="28069"/>
    <cellStyle name="Normal 3 2 2 2 2 2 5 2 4" xfId="28070"/>
    <cellStyle name="Normal 3 2 2 2 2 2 5 3" xfId="28071"/>
    <cellStyle name="Normal 3 2 2 2 2 2 5 4" xfId="28072"/>
    <cellStyle name="Normal 3 2 2 2 2 2 5 5" xfId="28073"/>
    <cellStyle name="Normal 3 2 2 2 2 2 6" xfId="2363"/>
    <cellStyle name="Normal 3 2 2 2 2 2 6 2" xfId="28074"/>
    <cellStyle name="Normal 3 2 2 2 2 2 6 2 2" xfId="28075"/>
    <cellStyle name="Normal 3 2 2 2 2 2 6 2 3" xfId="28076"/>
    <cellStyle name="Normal 3 2 2 2 2 2 6 2 4" xfId="28077"/>
    <cellStyle name="Normal 3 2 2 2 2 2 6 3" xfId="28078"/>
    <cellStyle name="Normal 3 2 2 2 2 2 6 4" xfId="28079"/>
    <cellStyle name="Normal 3 2 2 2 2 2 6 5" xfId="28080"/>
    <cellStyle name="Normal 3 2 2 2 2 2 7" xfId="28081"/>
    <cellStyle name="Normal 3 2 2 2 2 2 7 2" xfId="28082"/>
    <cellStyle name="Normal 3 2 2 2 2 2 7 3" xfId="28083"/>
    <cellStyle name="Normal 3 2 2 2 2 2 7 4" xfId="28084"/>
    <cellStyle name="Normal 3 2 2 2 2 2 8" xfId="28085"/>
    <cellStyle name="Normal 3 2 2 2 2 2 9" xfId="28086"/>
    <cellStyle name="Normal 3 2 2 2 2 3" xfId="2364"/>
    <cellStyle name="Normal 3 2 2 2 2 4" xfId="2365"/>
    <cellStyle name="Normal 3 2 2 2 2 5" xfId="2366"/>
    <cellStyle name="Normal 3 2 2 2 2 6" xfId="2367"/>
    <cellStyle name="Normal 3 2 2 2 2 7" xfId="28087"/>
    <cellStyle name="Normal 3 2 2 2 2 8" xfId="28088"/>
    <cellStyle name="Normal 3 2 2 2 2 9" xfId="28089"/>
    <cellStyle name="Normal 3 2 2 2 3" xfId="2368"/>
    <cellStyle name="Normal 3 2 2 2 3 2" xfId="2369"/>
    <cellStyle name="Normal 3 2 2 2 3 3" xfId="2370"/>
    <cellStyle name="Normal 3 2 2 2 3 4" xfId="2371"/>
    <cellStyle name="Normal 3 2 2 2 3 5" xfId="2372"/>
    <cellStyle name="Normal 3 2 2 2 3 6" xfId="28090"/>
    <cellStyle name="Normal 3 2 2 2 3 7" xfId="28091"/>
    <cellStyle name="Normal 3 2 2 2 3 8" xfId="28092"/>
    <cellStyle name="Normal 3 2 2 2 4" xfId="2373"/>
    <cellStyle name="Normal 3 2 2 2 4 2" xfId="2374"/>
    <cellStyle name="Normal 3 2 2 2 4 2 2" xfId="2375"/>
    <cellStyle name="Normal 3 2 2 2 4 2 2 2" xfId="28093"/>
    <cellStyle name="Normal 3 2 2 2 4 2 2 2 2" xfId="28094"/>
    <cellStyle name="Normal 3 2 2 2 4 2 2 2 3" xfId="28095"/>
    <cellStyle name="Normal 3 2 2 2 4 2 2 2 4" xfId="28096"/>
    <cellStyle name="Normal 3 2 2 2 4 2 2 3" xfId="28097"/>
    <cellStyle name="Normal 3 2 2 2 4 2 2 4" xfId="28098"/>
    <cellStyle name="Normal 3 2 2 2 4 2 2 5" xfId="28099"/>
    <cellStyle name="Normal 3 2 2 2 4 2 3" xfId="2376"/>
    <cellStyle name="Normal 3 2 2 2 4 2 3 2" xfId="28100"/>
    <cellStyle name="Normal 3 2 2 2 4 2 3 2 2" xfId="28101"/>
    <cellStyle name="Normal 3 2 2 2 4 2 3 2 3" xfId="28102"/>
    <cellStyle name="Normal 3 2 2 2 4 2 3 2 4" xfId="28103"/>
    <cellStyle name="Normal 3 2 2 2 4 2 3 3" xfId="28104"/>
    <cellStyle name="Normal 3 2 2 2 4 2 3 4" xfId="28105"/>
    <cellStyle name="Normal 3 2 2 2 4 2 3 5" xfId="28106"/>
    <cellStyle name="Normal 3 2 2 2 4 2 4" xfId="28107"/>
    <cellStyle name="Normal 3 2 2 2 4 2 4 2" xfId="28108"/>
    <cellStyle name="Normal 3 2 2 2 4 2 4 3" xfId="28109"/>
    <cellStyle name="Normal 3 2 2 2 4 2 4 4" xfId="28110"/>
    <cellStyle name="Normal 3 2 2 2 4 2 5" xfId="28111"/>
    <cellStyle name="Normal 3 2 2 2 4 2 6" xfId="28112"/>
    <cellStyle name="Normal 3 2 2 2 4 2 7" xfId="28113"/>
    <cellStyle name="Normal 3 2 2 2 4 3" xfId="2377"/>
    <cellStyle name="Normal 3 2 2 2 4 3 2" xfId="28114"/>
    <cellStyle name="Normal 3 2 2 2 4 3 2 2" xfId="28115"/>
    <cellStyle name="Normal 3 2 2 2 4 3 2 3" xfId="28116"/>
    <cellStyle name="Normal 3 2 2 2 4 3 2 4" xfId="28117"/>
    <cellStyle name="Normal 3 2 2 2 4 3 3" xfId="28118"/>
    <cellStyle name="Normal 3 2 2 2 4 3 4" xfId="28119"/>
    <cellStyle name="Normal 3 2 2 2 4 3 5" xfId="28120"/>
    <cellStyle name="Normal 3 2 2 2 4 4" xfId="2378"/>
    <cellStyle name="Normal 3 2 2 2 4 4 2" xfId="28121"/>
    <cellStyle name="Normal 3 2 2 2 4 4 2 2" xfId="28122"/>
    <cellStyle name="Normal 3 2 2 2 4 4 2 3" xfId="28123"/>
    <cellStyle name="Normal 3 2 2 2 4 4 2 4" xfId="28124"/>
    <cellStyle name="Normal 3 2 2 2 4 4 3" xfId="28125"/>
    <cellStyle name="Normal 3 2 2 2 4 4 4" xfId="28126"/>
    <cellStyle name="Normal 3 2 2 2 4 4 5" xfId="28127"/>
    <cellStyle name="Normal 3 2 2 2 4 5" xfId="28128"/>
    <cellStyle name="Normal 3 2 2 2 4 5 2" xfId="28129"/>
    <cellStyle name="Normal 3 2 2 2 4 5 3" xfId="28130"/>
    <cellStyle name="Normal 3 2 2 2 4 5 4" xfId="28131"/>
    <cellStyle name="Normal 3 2 2 2 4 6" xfId="28132"/>
    <cellStyle name="Normal 3 2 2 2 4 7" xfId="28133"/>
    <cellStyle name="Normal 3 2 2 2 4 8" xfId="28134"/>
    <cellStyle name="Normal 3 2 2 2 5" xfId="2379"/>
    <cellStyle name="Normal 3 2 2 2 5 2" xfId="2380"/>
    <cellStyle name="Normal 3 2 2 2 5 2 2" xfId="28135"/>
    <cellStyle name="Normal 3 2 2 2 5 2 2 2" xfId="28136"/>
    <cellStyle name="Normal 3 2 2 2 5 2 2 3" xfId="28137"/>
    <cellStyle name="Normal 3 2 2 2 5 2 2 4" xfId="28138"/>
    <cellStyle name="Normal 3 2 2 2 5 2 3" xfId="28139"/>
    <cellStyle name="Normal 3 2 2 2 5 2 4" xfId="28140"/>
    <cellStyle name="Normal 3 2 2 2 5 2 5" xfId="28141"/>
    <cellStyle name="Normal 3 2 2 2 5 3" xfId="2381"/>
    <cellStyle name="Normal 3 2 2 2 5 3 2" xfId="28142"/>
    <cellStyle name="Normal 3 2 2 2 5 3 2 2" xfId="28143"/>
    <cellStyle name="Normal 3 2 2 2 5 3 2 3" xfId="28144"/>
    <cellStyle name="Normal 3 2 2 2 5 3 2 4" xfId="28145"/>
    <cellStyle name="Normal 3 2 2 2 5 3 3" xfId="28146"/>
    <cellStyle name="Normal 3 2 2 2 5 3 4" xfId="28147"/>
    <cellStyle name="Normal 3 2 2 2 5 3 5" xfId="28148"/>
    <cellStyle name="Normal 3 2 2 2 5 4" xfId="28149"/>
    <cellStyle name="Normal 3 2 2 2 5 4 2" xfId="28150"/>
    <cellStyle name="Normal 3 2 2 2 5 4 3" xfId="28151"/>
    <cellStyle name="Normal 3 2 2 2 5 4 4" xfId="28152"/>
    <cellStyle name="Normal 3 2 2 2 5 5" xfId="28153"/>
    <cellStyle name="Normal 3 2 2 2 5 6" xfId="28154"/>
    <cellStyle name="Normal 3 2 2 2 5 7" xfId="28155"/>
    <cellStyle name="Normal 3 2 2 2 6" xfId="2382"/>
    <cellStyle name="Normal 3 2 2 2 6 2" xfId="28156"/>
    <cellStyle name="Normal 3 2 2 2 6 2 2" xfId="28157"/>
    <cellStyle name="Normal 3 2 2 2 6 2 3" xfId="28158"/>
    <cellStyle name="Normal 3 2 2 2 6 2 4" xfId="28159"/>
    <cellStyle name="Normal 3 2 2 2 6 3" xfId="28160"/>
    <cellStyle name="Normal 3 2 2 2 6 4" xfId="28161"/>
    <cellStyle name="Normal 3 2 2 2 6 5" xfId="28162"/>
    <cellStyle name="Normal 3 2 2 2 7" xfId="2383"/>
    <cellStyle name="Normal 3 2 2 2 7 2" xfId="28163"/>
    <cellStyle name="Normal 3 2 2 2 7 2 2" xfId="28164"/>
    <cellStyle name="Normal 3 2 2 2 7 2 3" xfId="28165"/>
    <cellStyle name="Normal 3 2 2 2 7 2 4" xfId="28166"/>
    <cellStyle name="Normal 3 2 2 2 7 3" xfId="28167"/>
    <cellStyle name="Normal 3 2 2 2 7 4" xfId="28168"/>
    <cellStyle name="Normal 3 2 2 2 7 5" xfId="28169"/>
    <cellStyle name="Normal 3 2 2 2 8" xfId="28170"/>
    <cellStyle name="Normal 3 2 2 2 8 2" xfId="28171"/>
    <cellStyle name="Normal 3 2 2 2 8 3" xfId="28172"/>
    <cellStyle name="Normal 3 2 2 2 8 4" xfId="28173"/>
    <cellStyle name="Normal 3 2 2 2 9" xfId="28174"/>
    <cellStyle name="Normal 3 2 2 3" xfId="2384"/>
    <cellStyle name="Normal 3 2 2 3 2" xfId="2385"/>
    <cellStyle name="Normal 3 2 2 3 3" xfId="2386"/>
    <cellStyle name="Normal 3 2 2 3 4" xfId="2387"/>
    <cellStyle name="Normal 3 2 2 3 5" xfId="2388"/>
    <cellStyle name="Normal 3 2 2 3 6" xfId="28175"/>
    <cellStyle name="Normal 3 2 2 3 7" xfId="28176"/>
    <cellStyle name="Normal 3 2 2 3 8" xfId="28177"/>
    <cellStyle name="Normal 3 2 2 4" xfId="2389"/>
    <cellStyle name="Normal 3 2 2 4 2" xfId="2390"/>
    <cellStyle name="Normal 3 2 2 4 3" xfId="2391"/>
    <cellStyle name="Normal 3 2 2 4 4" xfId="2392"/>
    <cellStyle name="Normal 3 2 2 4 5" xfId="2393"/>
    <cellStyle name="Normal 3 2 2 4 6" xfId="28178"/>
    <cellStyle name="Normal 3 2 2 4 7" xfId="28179"/>
    <cellStyle name="Normal 3 2 2 4 8" xfId="28180"/>
    <cellStyle name="Normal 3 2 2 5" xfId="2394"/>
    <cellStyle name="Normal 3 2 2 5 2" xfId="2395"/>
    <cellStyle name="Normal 3 2 2 5 3" xfId="2396"/>
    <cellStyle name="Normal 3 2 2 5 4" xfId="2397"/>
    <cellStyle name="Normal 3 2 2 5 5" xfId="2398"/>
    <cellStyle name="Normal 3 2 2 5 6" xfId="28181"/>
    <cellStyle name="Normal 3 2 2 5 7" xfId="28182"/>
    <cellStyle name="Normal 3 2 2 5 8" xfId="28183"/>
    <cellStyle name="Normal 3 2 2 6" xfId="2399"/>
    <cellStyle name="Normal 3 2 2 6 2" xfId="2400"/>
    <cellStyle name="Normal 3 2 2 6 3" xfId="2401"/>
    <cellStyle name="Normal 3 2 2 6 4" xfId="2402"/>
    <cellStyle name="Normal 3 2 2 6 5" xfId="2403"/>
    <cellStyle name="Normal 3 2 2 6 6" xfId="28184"/>
    <cellStyle name="Normal 3 2 2 6 7" xfId="28185"/>
    <cellStyle name="Normal 3 2 2 6 8" xfId="28186"/>
    <cellStyle name="Normal 3 2 2 7" xfId="2404"/>
    <cellStyle name="Normal 3 2 2 7 2" xfId="2405"/>
    <cellStyle name="Normal 3 2 2 7 3" xfId="2406"/>
    <cellStyle name="Normal 3 2 2 7 4" xfId="2407"/>
    <cellStyle name="Normal 3 2 2 7 5" xfId="2408"/>
    <cellStyle name="Normal 3 2 2 7 6" xfId="28187"/>
    <cellStyle name="Normal 3 2 2 7 7" xfId="28188"/>
    <cellStyle name="Normal 3 2 2 7 8" xfId="28189"/>
    <cellStyle name="Normal 3 2 2 8" xfId="2409"/>
    <cellStyle name="Normal 3 2 2 8 2" xfId="2410"/>
    <cellStyle name="Normal 3 2 2 8 3" xfId="2411"/>
    <cellStyle name="Normal 3 2 2 8 4" xfId="2412"/>
    <cellStyle name="Normal 3 2 2 8 5" xfId="2413"/>
    <cellStyle name="Normal 3 2 2 8 6" xfId="28190"/>
    <cellStyle name="Normal 3 2 2 8 7" xfId="28191"/>
    <cellStyle name="Normal 3 2 2 8 8" xfId="28192"/>
    <cellStyle name="Normal 3 2 2 9" xfId="2414"/>
    <cellStyle name="Normal 3 2 2 9 10" xfId="28193"/>
    <cellStyle name="Normal 3 2 2 9 2" xfId="2415"/>
    <cellStyle name="Normal 3 2 2 9 2 2" xfId="2416"/>
    <cellStyle name="Normal 3 2 2 9 2 3" xfId="2417"/>
    <cellStyle name="Normal 3 2 2 9 2 4" xfId="2418"/>
    <cellStyle name="Normal 3 2 2 9 2 5" xfId="2419"/>
    <cellStyle name="Normal 3 2 2 9 2 6" xfId="28194"/>
    <cellStyle name="Normal 3 2 2 9 2 7" xfId="28195"/>
    <cellStyle name="Normal 3 2 2 9 2 8" xfId="28196"/>
    <cellStyle name="Normal 3 2 2 9 3" xfId="2420"/>
    <cellStyle name="Normal 3 2 2 9 3 2" xfId="2421"/>
    <cellStyle name="Normal 3 2 2 9 3 2 2" xfId="2422"/>
    <cellStyle name="Normal 3 2 2 9 3 2 2 2" xfId="28197"/>
    <cellStyle name="Normal 3 2 2 9 3 2 2 2 2" xfId="28198"/>
    <cellStyle name="Normal 3 2 2 9 3 2 2 2 3" xfId="28199"/>
    <cellStyle name="Normal 3 2 2 9 3 2 2 2 4" xfId="28200"/>
    <cellStyle name="Normal 3 2 2 9 3 2 2 3" xfId="28201"/>
    <cellStyle name="Normal 3 2 2 9 3 2 2 4" xfId="28202"/>
    <cellStyle name="Normal 3 2 2 9 3 2 2 5" xfId="28203"/>
    <cellStyle name="Normal 3 2 2 9 3 2 3" xfId="2423"/>
    <cellStyle name="Normal 3 2 2 9 3 2 3 2" xfId="28204"/>
    <cellStyle name="Normal 3 2 2 9 3 2 3 2 2" xfId="28205"/>
    <cellStyle name="Normal 3 2 2 9 3 2 3 2 3" xfId="28206"/>
    <cellStyle name="Normal 3 2 2 9 3 2 3 2 4" xfId="28207"/>
    <cellStyle name="Normal 3 2 2 9 3 2 3 3" xfId="28208"/>
    <cellStyle name="Normal 3 2 2 9 3 2 3 4" xfId="28209"/>
    <cellStyle name="Normal 3 2 2 9 3 2 3 5" xfId="28210"/>
    <cellStyle name="Normal 3 2 2 9 3 2 4" xfId="28211"/>
    <cellStyle name="Normal 3 2 2 9 3 2 4 2" xfId="28212"/>
    <cellStyle name="Normal 3 2 2 9 3 2 4 3" xfId="28213"/>
    <cellStyle name="Normal 3 2 2 9 3 2 4 4" xfId="28214"/>
    <cellStyle name="Normal 3 2 2 9 3 2 5" xfId="28215"/>
    <cellStyle name="Normal 3 2 2 9 3 2 6" xfId="28216"/>
    <cellStyle name="Normal 3 2 2 9 3 2 7" xfId="28217"/>
    <cellStyle name="Normal 3 2 2 9 3 3" xfId="2424"/>
    <cellStyle name="Normal 3 2 2 9 3 3 2" xfId="28218"/>
    <cellStyle name="Normal 3 2 2 9 3 3 2 2" xfId="28219"/>
    <cellStyle name="Normal 3 2 2 9 3 3 2 3" xfId="28220"/>
    <cellStyle name="Normal 3 2 2 9 3 3 2 4" xfId="28221"/>
    <cellStyle name="Normal 3 2 2 9 3 3 3" xfId="28222"/>
    <cellStyle name="Normal 3 2 2 9 3 3 4" xfId="28223"/>
    <cellStyle name="Normal 3 2 2 9 3 3 5" xfId="28224"/>
    <cellStyle name="Normal 3 2 2 9 3 4" xfId="2425"/>
    <cellStyle name="Normal 3 2 2 9 3 4 2" xfId="28225"/>
    <cellStyle name="Normal 3 2 2 9 3 4 2 2" xfId="28226"/>
    <cellStyle name="Normal 3 2 2 9 3 4 2 3" xfId="28227"/>
    <cellStyle name="Normal 3 2 2 9 3 4 2 4" xfId="28228"/>
    <cellStyle name="Normal 3 2 2 9 3 4 3" xfId="28229"/>
    <cellStyle name="Normal 3 2 2 9 3 4 4" xfId="28230"/>
    <cellStyle name="Normal 3 2 2 9 3 4 5" xfId="28231"/>
    <cellStyle name="Normal 3 2 2 9 3 5" xfId="28232"/>
    <cellStyle name="Normal 3 2 2 9 3 5 2" xfId="28233"/>
    <cellStyle name="Normal 3 2 2 9 3 5 3" xfId="28234"/>
    <cellStyle name="Normal 3 2 2 9 3 5 4" xfId="28235"/>
    <cellStyle name="Normal 3 2 2 9 3 6" xfId="28236"/>
    <cellStyle name="Normal 3 2 2 9 3 7" xfId="28237"/>
    <cellStyle name="Normal 3 2 2 9 3 8" xfId="28238"/>
    <cellStyle name="Normal 3 2 2 9 4" xfId="2426"/>
    <cellStyle name="Normal 3 2 2 9 4 2" xfId="2427"/>
    <cellStyle name="Normal 3 2 2 9 4 2 2" xfId="28239"/>
    <cellStyle name="Normal 3 2 2 9 4 2 2 2" xfId="28240"/>
    <cellStyle name="Normal 3 2 2 9 4 2 2 3" xfId="28241"/>
    <cellStyle name="Normal 3 2 2 9 4 2 2 4" xfId="28242"/>
    <cellStyle name="Normal 3 2 2 9 4 2 3" xfId="28243"/>
    <cellStyle name="Normal 3 2 2 9 4 2 4" xfId="28244"/>
    <cellStyle name="Normal 3 2 2 9 4 2 5" xfId="28245"/>
    <cellStyle name="Normal 3 2 2 9 4 3" xfId="2428"/>
    <cellStyle name="Normal 3 2 2 9 4 3 2" xfId="28246"/>
    <cellStyle name="Normal 3 2 2 9 4 3 2 2" xfId="28247"/>
    <cellStyle name="Normal 3 2 2 9 4 3 2 3" xfId="28248"/>
    <cellStyle name="Normal 3 2 2 9 4 3 2 4" xfId="28249"/>
    <cellStyle name="Normal 3 2 2 9 4 3 3" xfId="28250"/>
    <cellStyle name="Normal 3 2 2 9 4 3 4" xfId="28251"/>
    <cellStyle name="Normal 3 2 2 9 4 3 5" xfId="28252"/>
    <cellStyle name="Normal 3 2 2 9 4 4" xfId="28253"/>
    <cellStyle name="Normal 3 2 2 9 4 4 2" xfId="28254"/>
    <cellStyle name="Normal 3 2 2 9 4 4 3" xfId="28255"/>
    <cellStyle name="Normal 3 2 2 9 4 4 4" xfId="28256"/>
    <cellStyle name="Normal 3 2 2 9 4 5" xfId="28257"/>
    <cellStyle name="Normal 3 2 2 9 4 6" xfId="28258"/>
    <cellStyle name="Normal 3 2 2 9 4 7" xfId="28259"/>
    <cellStyle name="Normal 3 2 2 9 5" xfId="2429"/>
    <cellStyle name="Normal 3 2 2 9 5 2" xfId="28260"/>
    <cellStyle name="Normal 3 2 2 9 5 2 2" xfId="28261"/>
    <cellStyle name="Normal 3 2 2 9 5 2 3" xfId="28262"/>
    <cellStyle name="Normal 3 2 2 9 5 2 4" xfId="28263"/>
    <cellStyle name="Normal 3 2 2 9 5 3" xfId="28264"/>
    <cellStyle name="Normal 3 2 2 9 5 4" xfId="28265"/>
    <cellStyle name="Normal 3 2 2 9 5 5" xfId="28266"/>
    <cellStyle name="Normal 3 2 2 9 6" xfId="2430"/>
    <cellStyle name="Normal 3 2 2 9 6 2" xfId="28267"/>
    <cellStyle name="Normal 3 2 2 9 6 2 2" xfId="28268"/>
    <cellStyle name="Normal 3 2 2 9 6 2 3" xfId="28269"/>
    <cellStyle name="Normal 3 2 2 9 6 2 4" xfId="28270"/>
    <cellStyle name="Normal 3 2 2 9 6 3" xfId="28271"/>
    <cellStyle name="Normal 3 2 2 9 6 4" xfId="28272"/>
    <cellStyle name="Normal 3 2 2 9 6 5" xfId="28273"/>
    <cellStyle name="Normal 3 2 2 9 7" xfId="28274"/>
    <cellStyle name="Normal 3 2 2 9 7 2" xfId="28275"/>
    <cellStyle name="Normal 3 2 2 9 7 3" xfId="28276"/>
    <cellStyle name="Normal 3 2 2 9 7 4" xfId="28277"/>
    <cellStyle name="Normal 3 2 2 9 8" xfId="28278"/>
    <cellStyle name="Normal 3 2 2 9 9" xfId="28279"/>
    <cellStyle name="Normal 3 2 3" xfId="2431"/>
    <cellStyle name="Normal 3 2 3 10" xfId="28280"/>
    <cellStyle name="Normal 3 2 3 2" xfId="2432"/>
    <cellStyle name="Normal 3 2 3 2 10" xfId="28281"/>
    <cellStyle name="Normal 3 2 3 2 2" xfId="2433"/>
    <cellStyle name="Normal 3 2 3 2 2 2" xfId="2434"/>
    <cellStyle name="Normal 3 2 3 2 2 2 2" xfId="2435"/>
    <cellStyle name="Normal 3 2 3 2 2 2 2 2" xfId="2436"/>
    <cellStyle name="Normal 3 2 3 2 2 2 2 2 2" xfId="2437"/>
    <cellStyle name="Normal 3 2 3 2 2 2 2 2 2 2" xfId="28282"/>
    <cellStyle name="Normal 3 2 3 2 2 2 2 2 2 2 2" xfId="28283"/>
    <cellStyle name="Normal 3 2 3 2 2 2 2 2 2 2 3" xfId="28284"/>
    <cellStyle name="Normal 3 2 3 2 2 2 2 2 2 2 4" xfId="28285"/>
    <cellStyle name="Normal 3 2 3 2 2 2 2 2 2 3" xfId="28286"/>
    <cellStyle name="Normal 3 2 3 2 2 2 2 2 2 4" xfId="28287"/>
    <cellStyle name="Normal 3 2 3 2 2 2 2 2 2 5" xfId="28288"/>
    <cellStyle name="Normal 3 2 3 2 2 2 2 2 3" xfId="2438"/>
    <cellStyle name="Normal 3 2 3 2 2 2 2 2 3 2" xfId="28289"/>
    <cellStyle name="Normal 3 2 3 2 2 2 2 2 3 2 2" xfId="28290"/>
    <cellStyle name="Normal 3 2 3 2 2 2 2 2 3 2 3" xfId="28291"/>
    <cellStyle name="Normal 3 2 3 2 2 2 2 2 3 2 4" xfId="28292"/>
    <cellStyle name="Normal 3 2 3 2 2 2 2 2 3 3" xfId="28293"/>
    <cellStyle name="Normal 3 2 3 2 2 2 2 2 3 4" xfId="28294"/>
    <cellStyle name="Normal 3 2 3 2 2 2 2 2 3 5" xfId="28295"/>
    <cellStyle name="Normal 3 2 3 2 2 2 2 2 4" xfId="28296"/>
    <cellStyle name="Normal 3 2 3 2 2 2 2 2 4 2" xfId="28297"/>
    <cellStyle name="Normal 3 2 3 2 2 2 2 2 4 3" xfId="28298"/>
    <cellStyle name="Normal 3 2 3 2 2 2 2 2 4 4" xfId="28299"/>
    <cellStyle name="Normal 3 2 3 2 2 2 2 2 5" xfId="28300"/>
    <cellStyle name="Normal 3 2 3 2 2 2 2 2 6" xfId="28301"/>
    <cellStyle name="Normal 3 2 3 2 2 2 2 2 7" xfId="28302"/>
    <cellStyle name="Normal 3 2 3 2 2 2 2 3" xfId="2439"/>
    <cellStyle name="Normal 3 2 3 2 2 2 2 3 2" xfId="28303"/>
    <cellStyle name="Normal 3 2 3 2 2 2 2 3 2 2" xfId="28304"/>
    <cellStyle name="Normal 3 2 3 2 2 2 2 3 2 3" xfId="28305"/>
    <cellStyle name="Normal 3 2 3 2 2 2 2 3 2 4" xfId="28306"/>
    <cellStyle name="Normal 3 2 3 2 2 2 2 3 3" xfId="28307"/>
    <cellStyle name="Normal 3 2 3 2 2 2 2 3 4" xfId="28308"/>
    <cellStyle name="Normal 3 2 3 2 2 2 2 3 5" xfId="28309"/>
    <cellStyle name="Normal 3 2 3 2 2 2 2 4" xfId="2440"/>
    <cellStyle name="Normal 3 2 3 2 2 2 2 4 2" xfId="28310"/>
    <cellStyle name="Normal 3 2 3 2 2 2 2 4 2 2" xfId="28311"/>
    <cellStyle name="Normal 3 2 3 2 2 2 2 4 2 3" xfId="28312"/>
    <cellStyle name="Normal 3 2 3 2 2 2 2 4 2 4" xfId="28313"/>
    <cellStyle name="Normal 3 2 3 2 2 2 2 4 3" xfId="28314"/>
    <cellStyle name="Normal 3 2 3 2 2 2 2 4 4" xfId="28315"/>
    <cellStyle name="Normal 3 2 3 2 2 2 2 4 5" xfId="28316"/>
    <cellStyle name="Normal 3 2 3 2 2 2 2 5" xfId="28317"/>
    <cellStyle name="Normal 3 2 3 2 2 2 2 5 2" xfId="28318"/>
    <cellStyle name="Normal 3 2 3 2 2 2 2 5 3" xfId="28319"/>
    <cellStyle name="Normal 3 2 3 2 2 2 2 5 4" xfId="28320"/>
    <cellStyle name="Normal 3 2 3 2 2 2 2 6" xfId="28321"/>
    <cellStyle name="Normal 3 2 3 2 2 2 2 7" xfId="28322"/>
    <cellStyle name="Normal 3 2 3 2 2 2 2 8" xfId="28323"/>
    <cellStyle name="Normal 3 2 3 2 2 2 3" xfId="2441"/>
    <cellStyle name="Normal 3 2 3 2 2 2 3 2" xfId="2442"/>
    <cellStyle name="Normal 3 2 3 2 2 2 3 2 2" xfId="28324"/>
    <cellStyle name="Normal 3 2 3 2 2 2 3 2 2 2" xfId="28325"/>
    <cellStyle name="Normal 3 2 3 2 2 2 3 2 2 3" xfId="28326"/>
    <cellStyle name="Normal 3 2 3 2 2 2 3 2 2 4" xfId="28327"/>
    <cellStyle name="Normal 3 2 3 2 2 2 3 2 3" xfId="28328"/>
    <cellStyle name="Normal 3 2 3 2 2 2 3 2 4" xfId="28329"/>
    <cellStyle name="Normal 3 2 3 2 2 2 3 2 5" xfId="28330"/>
    <cellStyle name="Normal 3 2 3 2 2 2 3 3" xfId="2443"/>
    <cellStyle name="Normal 3 2 3 2 2 2 3 3 2" xfId="28331"/>
    <cellStyle name="Normal 3 2 3 2 2 2 3 3 2 2" xfId="28332"/>
    <cellStyle name="Normal 3 2 3 2 2 2 3 3 2 3" xfId="28333"/>
    <cellStyle name="Normal 3 2 3 2 2 2 3 3 2 4" xfId="28334"/>
    <cellStyle name="Normal 3 2 3 2 2 2 3 3 3" xfId="28335"/>
    <cellStyle name="Normal 3 2 3 2 2 2 3 3 4" xfId="28336"/>
    <cellStyle name="Normal 3 2 3 2 2 2 3 3 5" xfId="28337"/>
    <cellStyle name="Normal 3 2 3 2 2 2 3 4" xfId="28338"/>
    <cellStyle name="Normal 3 2 3 2 2 2 3 4 2" xfId="28339"/>
    <cellStyle name="Normal 3 2 3 2 2 2 3 4 3" xfId="28340"/>
    <cellStyle name="Normal 3 2 3 2 2 2 3 4 4" xfId="28341"/>
    <cellStyle name="Normal 3 2 3 2 2 2 3 5" xfId="28342"/>
    <cellStyle name="Normal 3 2 3 2 2 2 3 6" xfId="28343"/>
    <cellStyle name="Normal 3 2 3 2 2 2 3 7" xfId="28344"/>
    <cellStyle name="Normal 3 2 3 2 2 2 4" xfId="2444"/>
    <cellStyle name="Normal 3 2 3 2 2 2 4 2" xfId="28345"/>
    <cellStyle name="Normal 3 2 3 2 2 2 4 2 2" xfId="28346"/>
    <cellStyle name="Normal 3 2 3 2 2 2 4 2 3" xfId="28347"/>
    <cellStyle name="Normal 3 2 3 2 2 2 4 2 4" xfId="28348"/>
    <cellStyle name="Normal 3 2 3 2 2 2 4 3" xfId="28349"/>
    <cellStyle name="Normal 3 2 3 2 2 2 4 4" xfId="28350"/>
    <cellStyle name="Normal 3 2 3 2 2 2 4 5" xfId="28351"/>
    <cellStyle name="Normal 3 2 3 2 2 2 5" xfId="2445"/>
    <cellStyle name="Normal 3 2 3 2 2 2 5 2" xfId="28352"/>
    <cellStyle name="Normal 3 2 3 2 2 2 5 2 2" xfId="28353"/>
    <cellStyle name="Normal 3 2 3 2 2 2 5 2 3" xfId="28354"/>
    <cellStyle name="Normal 3 2 3 2 2 2 5 2 4" xfId="28355"/>
    <cellStyle name="Normal 3 2 3 2 2 2 5 3" xfId="28356"/>
    <cellStyle name="Normal 3 2 3 2 2 2 5 4" xfId="28357"/>
    <cellStyle name="Normal 3 2 3 2 2 2 5 5" xfId="28358"/>
    <cellStyle name="Normal 3 2 3 2 2 2 6" xfId="28359"/>
    <cellStyle name="Normal 3 2 3 2 2 2 6 2" xfId="28360"/>
    <cellStyle name="Normal 3 2 3 2 2 2 6 3" xfId="28361"/>
    <cellStyle name="Normal 3 2 3 2 2 2 6 4" xfId="28362"/>
    <cellStyle name="Normal 3 2 3 2 2 2 7" xfId="28363"/>
    <cellStyle name="Normal 3 2 3 2 2 2 8" xfId="28364"/>
    <cellStyle name="Normal 3 2 3 2 2 2 9" xfId="28365"/>
    <cellStyle name="Normal 3 2 3 2 2 3" xfId="2446"/>
    <cellStyle name="Normal 3 2 3 2 2 4" xfId="2447"/>
    <cellStyle name="Normal 3 2 3 2 2 5" xfId="2448"/>
    <cellStyle name="Normal 3 2 3 2 2 6" xfId="2449"/>
    <cellStyle name="Normal 3 2 3 2 2 7" xfId="28366"/>
    <cellStyle name="Normal 3 2 3 2 2 8" xfId="28367"/>
    <cellStyle name="Normal 3 2 3 2 2 9" xfId="28368"/>
    <cellStyle name="Normal 3 2 3 2 3" xfId="2450"/>
    <cellStyle name="Normal 3 2 3 2 3 2" xfId="2451"/>
    <cellStyle name="Normal 3 2 3 2 3 2 2" xfId="2452"/>
    <cellStyle name="Normal 3 2 3 2 3 2 2 2" xfId="28369"/>
    <cellStyle name="Normal 3 2 3 2 3 2 2 2 2" xfId="28370"/>
    <cellStyle name="Normal 3 2 3 2 3 2 2 2 3" xfId="28371"/>
    <cellStyle name="Normal 3 2 3 2 3 2 2 2 4" xfId="28372"/>
    <cellStyle name="Normal 3 2 3 2 3 2 2 3" xfId="28373"/>
    <cellStyle name="Normal 3 2 3 2 3 2 2 4" xfId="28374"/>
    <cellStyle name="Normal 3 2 3 2 3 2 2 5" xfId="28375"/>
    <cellStyle name="Normal 3 2 3 2 3 2 3" xfId="2453"/>
    <cellStyle name="Normal 3 2 3 2 3 2 3 2" xfId="28376"/>
    <cellStyle name="Normal 3 2 3 2 3 2 3 2 2" xfId="28377"/>
    <cellStyle name="Normal 3 2 3 2 3 2 3 2 3" xfId="28378"/>
    <cellStyle name="Normal 3 2 3 2 3 2 3 2 4" xfId="28379"/>
    <cellStyle name="Normal 3 2 3 2 3 2 3 3" xfId="28380"/>
    <cellStyle name="Normal 3 2 3 2 3 2 3 4" xfId="28381"/>
    <cellStyle name="Normal 3 2 3 2 3 2 3 5" xfId="28382"/>
    <cellStyle name="Normal 3 2 3 2 3 2 4" xfId="28383"/>
    <cellStyle name="Normal 3 2 3 2 3 2 4 2" xfId="28384"/>
    <cellStyle name="Normal 3 2 3 2 3 2 4 3" xfId="28385"/>
    <cellStyle name="Normal 3 2 3 2 3 2 4 4" xfId="28386"/>
    <cellStyle name="Normal 3 2 3 2 3 2 5" xfId="28387"/>
    <cellStyle name="Normal 3 2 3 2 3 2 6" xfId="28388"/>
    <cellStyle name="Normal 3 2 3 2 3 2 7" xfId="28389"/>
    <cellStyle name="Normal 3 2 3 2 3 3" xfId="2454"/>
    <cellStyle name="Normal 3 2 3 2 3 3 2" xfId="28390"/>
    <cellStyle name="Normal 3 2 3 2 3 3 2 2" xfId="28391"/>
    <cellStyle name="Normal 3 2 3 2 3 3 2 3" xfId="28392"/>
    <cellStyle name="Normal 3 2 3 2 3 3 2 4" xfId="28393"/>
    <cellStyle name="Normal 3 2 3 2 3 3 3" xfId="28394"/>
    <cellStyle name="Normal 3 2 3 2 3 3 4" xfId="28395"/>
    <cellStyle name="Normal 3 2 3 2 3 3 5" xfId="28396"/>
    <cellStyle name="Normal 3 2 3 2 3 4" xfId="2455"/>
    <cellStyle name="Normal 3 2 3 2 3 4 2" xfId="28397"/>
    <cellStyle name="Normal 3 2 3 2 3 4 2 2" xfId="28398"/>
    <cellStyle name="Normal 3 2 3 2 3 4 2 3" xfId="28399"/>
    <cellStyle name="Normal 3 2 3 2 3 4 2 4" xfId="28400"/>
    <cellStyle name="Normal 3 2 3 2 3 4 3" xfId="28401"/>
    <cellStyle name="Normal 3 2 3 2 3 4 4" xfId="28402"/>
    <cellStyle name="Normal 3 2 3 2 3 4 5" xfId="28403"/>
    <cellStyle name="Normal 3 2 3 2 3 5" xfId="28404"/>
    <cellStyle name="Normal 3 2 3 2 3 5 2" xfId="28405"/>
    <cellStyle name="Normal 3 2 3 2 3 5 3" xfId="28406"/>
    <cellStyle name="Normal 3 2 3 2 3 5 4" xfId="28407"/>
    <cellStyle name="Normal 3 2 3 2 3 6" xfId="28408"/>
    <cellStyle name="Normal 3 2 3 2 3 7" xfId="28409"/>
    <cellStyle name="Normal 3 2 3 2 3 8" xfId="28410"/>
    <cellStyle name="Normal 3 2 3 2 4" xfId="2456"/>
    <cellStyle name="Normal 3 2 3 2 4 2" xfId="2457"/>
    <cellStyle name="Normal 3 2 3 2 4 2 2" xfId="28411"/>
    <cellStyle name="Normal 3 2 3 2 4 2 2 2" xfId="28412"/>
    <cellStyle name="Normal 3 2 3 2 4 2 2 3" xfId="28413"/>
    <cellStyle name="Normal 3 2 3 2 4 2 2 4" xfId="28414"/>
    <cellStyle name="Normal 3 2 3 2 4 2 3" xfId="28415"/>
    <cellStyle name="Normal 3 2 3 2 4 2 4" xfId="28416"/>
    <cellStyle name="Normal 3 2 3 2 4 2 5" xfId="28417"/>
    <cellStyle name="Normal 3 2 3 2 4 3" xfId="2458"/>
    <cellStyle name="Normal 3 2 3 2 4 3 2" xfId="28418"/>
    <cellStyle name="Normal 3 2 3 2 4 3 2 2" xfId="28419"/>
    <cellStyle name="Normal 3 2 3 2 4 3 2 3" xfId="28420"/>
    <cellStyle name="Normal 3 2 3 2 4 3 2 4" xfId="28421"/>
    <cellStyle name="Normal 3 2 3 2 4 3 3" xfId="28422"/>
    <cellStyle name="Normal 3 2 3 2 4 3 4" xfId="28423"/>
    <cellStyle name="Normal 3 2 3 2 4 3 5" xfId="28424"/>
    <cellStyle name="Normal 3 2 3 2 4 4" xfId="28425"/>
    <cellStyle name="Normal 3 2 3 2 4 4 2" xfId="28426"/>
    <cellStyle name="Normal 3 2 3 2 4 4 3" xfId="28427"/>
    <cellStyle name="Normal 3 2 3 2 4 4 4" xfId="28428"/>
    <cellStyle name="Normal 3 2 3 2 4 5" xfId="28429"/>
    <cellStyle name="Normal 3 2 3 2 4 6" xfId="28430"/>
    <cellStyle name="Normal 3 2 3 2 4 7" xfId="28431"/>
    <cellStyle name="Normal 3 2 3 2 5" xfId="2459"/>
    <cellStyle name="Normal 3 2 3 2 5 2" xfId="28432"/>
    <cellStyle name="Normal 3 2 3 2 5 2 2" xfId="28433"/>
    <cellStyle name="Normal 3 2 3 2 5 2 3" xfId="28434"/>
    <cellStyle name="Normal 3 2 3 2 5 2 4" xfId="28435"/>
    <cellStyle name="Normal 3 2 3 2 5 3" xfId="28436"/>
    <cellStyle name="Normal 3 2 3 2 5 4" xfId="28437"/>
    <cellStyle name="Normal 3 2 3 2 5 5" xfId="28438"/>
    <cellStyle name="Normal 3 2 3 2 6" xfId="2460"/>
    <cellStyle name="Normal 3 2 3 2 6 2" xfId="28439"/>
    <cellStyle name="Normal 3 2 3 2 6 2 2" xfId="28440"/>
    <cellStyle name="Normal 3 2 3 2 6 2 3" xfId="28441"/>
    <cellStyle name="Normal 3 2 3 2 6 2 4" xfId="28442"/>
    <cellStyle name="Normal 3 2 3 2 6 3" xfId="28443"/>
    <cellStyle name="Normal 3 2 3 2 6 4" xfId="28444"/>
    <cellStyle name="Normal 3 2 3 2 6 5" xfId="28445"/>
    <cellStyle name="Normal 3 2 3 2 7" xfId="28446"/>
    <cellStyle name="Normal 3 2 3 2 7 2" xfId="28447"/>
    <cellStyle name="Normal 3 2 3 2 7 3" xfId="28448"/>
    <cellStyle name="Normal 3 2 3 2 7 4" xfId="28449"/>
    <cellStyle name="Normal 3 2 3 2 8" xfId="28450"/>
    <cellStyle name="Normal 3 2 3 2 9" xfId="28451"/>
    <cellStyle name="Normal 3 2 3 3" xfId="2461"/>
    <cellStyle name="Normal 3 2 3 3 2" xfId="2462"/>
    <cellStyle name="Normal 3 2 3 3 2 2" xfId="2463"/>
    <cellStyle name="Normal 3 2 3 3 2 2 2" xfId="2464"/>
    <cellStyle name="Normal 3 2 3 3 2 2 2 2" xfId="28452"/>
    <cellStyle name="Normal 3 2 3 3 2 2 2 2 2" xfId="28453"/>
    <cellStyle name="Normal 3 2 3 3 2 2 2 2 3" xfId="28454"/>
    <cellStyle name="Normal 3 2 3 3 2 2 2 2 4" xfId="28455"/>
    <cellStyle name="Normal 3 2 3 3 2 2 2 3" xfId="28456"/>
    <cellStyle name="Normal 3 2 3 3 2 2 2 4" xfId="28457"/>
    <cellStyle name="Normal 3 2 3 3 2 2 2 5" xfId="28458"/>
    <cellStyle name="Normal 3 2 3 3 2 2 3" xfId="2465"/>
    <cellStyle name="Normal 3 2 3 3 2 2 3 2" xfId="28459"/>
    <cellStyle name="Normal 3 2 3 3 2 2 3 2 2" xfId="28460"/>
    <cellStyle name="Normal 3 2 3 3 2 2 3 2 3" xfId="28461"/>
    <cellStyle name="Normal 3 2 3 3 2 2 3 2 4" xfId="28462"/>
    <cellStyle name="Normal 3 2 3 3 2 2 3 3" xfId="28463"/>
    <cellStyle name="Normal 3 2 3 3 2 2 3 4" xfId="28464"/>
    <cellStyle name="Normal 3 2 3 3 2 2 3 5" xfId="28465"/>
    <cellStyle name="Normal 3 2 3 3 2 2 4" xfId="28466"/>
    <cellStyle name="Normal 3 2 3 3 2 2 4 2" xfId="28467"/>
    <cellStyle name="Normal 3 2 3 3 2 2 4 3" xfId="28468"/>
    <cellStyle name="Normal 3 2 3 3 2 2 4 4" xfId="28469"/>
    <cellStyle name="Normal 3 2 3 3 2 2 5" xfId="28470"/>
    <cellStyle name="Normal 3 2 3 3 2 2 6" xfId="28471"/>
    <cellStyle name="Normal 3 2 3 3 2 2 7" xfId="28472"/>
    <cellStyle name="Normal 3 2 3 3 2 3" xfId="2466"/>
    <cellStyle name="Normal 3 2 3 3 2 3 2" xfId="28473"/>
    <cellStyle name="Normal 3 2 3 3 2 3 2 2" xfId="28474"/>
    <cellStyle name="Normal 3 2 3 3 2 3 2 3" xfId="28475"/>
    <cellStyle name="Normal 3 2 3 3 2 3 2 4" xfId="28476"/>
    <cellStyle name="Normal 3 2 3 3 2 3 3" xfId="28477"/>
    <cellStyle name="Normal 3 2 3 3 2 3 4" xfId="28478"/>
    <cellStyle name="Normal 3 2 3 3 2 3 5" xfId="28479"/>
    <cellStyle name="Normal 3 2 3 3 2 4" xfId="2467"/>
    <cellStyle name="Normal 3 2 3 3 2 4 2" xfId="28480"/>
    <cellStyle name="Normal 3 2 3 3 2 4 2 2" xfId="28481"/>
    <cellStyle name="Normal 3 2 3 3 2 4 2 3" xfId="28482"/>
    <cellStyle name="Normal 3 2 3 3 2 4 2 4" xfId="28483"/>
    <cellStyle name="Normal 3 2 3 3 2 4 3" xfId="28484"/>
    <cellStyle name="Normal 3 2 3 3 2 4 4" xfId="28485"/>
    <cellStyle name="Normal 3 2 3 3 2 4 5" xfId="28486"/>
    <cellStyle name="Normal 3 2 3 3 2 5" xfId="28487"/>
    <cellStyle name="Normal 3 2 3 3 2 5 2" xfId="28488"/>
    <cellStyle name="Normal 3 2 3 3 2 5 3" xfId="28489"/>
    <cellStyle name="Normal 3 2 3 3 2 5 4" xfId="28490"/>
    <cellStyle name="Normal 3 2 3 3 2 6" xfId="28491"/>
    <cellStyle name="Normal 3 2 3 3 2 7" xfId="28492"/>
    <cellStyle name="Normal 3 2 3 3 2 8" xfId="28493"/>
    <cellStyle name="Normal 3 2 3 3 3" xfId="2468"/>
    <cellStyle name="Normal 3 2 3 3 3 2" xfId="2469"/>
    <cellStyle name="Normal 3 2 3 3 3 2 2" xfId="28494"/>
    <cellStyle name="Normal 3 2 3 3 3 2 2 2" xfId="28495"/>
    <cellStyle name="Normal 3 2 3 3 3 2 2 3" xfId="28496"/>
    <cellStyle name="Normal 3 2 3 3 3 2 2 4" xfId="28497"/>
    <cellStyle name="Normal 3 2 3 3 3 2 3" xfId="28498"/>
    <cellStyle name="Normal 3 2 3 3 3 2 4" xfId="28499"/>
    <cellStyle name="Normal 3 2 3 3 3 2 5" xfId="28500"/>
    <cellStyle name="Normal 3 2 3 3 3 3" xfId="2470"/>
    <cellStyle name="Normal 3 2 3 3 3 3 2" xfId="28501"/>
    <cellStyle name="Normal 3 2 3 3 3 3 2 2" xfId="28502"/>
    <cellStyle name="Normal 3 2 3 3 3 3 2 3" xfId="28503"/>
    <cellStyle name="Normal 3 2 3 3 3 3 2 4" xfId="28504"/>
    <cellStyle name="Normal 3 2 3 3 3 3 3" xfId="28505"/>
    <cellStyle name="Normal 3 2 3 3 3 3 4" xfId="28506"/>
    <cellStyle name="Normal 3 2 3 3 3 3 5" xfId="28507"/>
    <cellStyle name="Normal 3 2 3 3 3 4" xfId="28508"/>
    <cellStyle name="Normal 3 2 3 3 3 4 2" xfId="28509"/>
    <cellStyle name="Normal 3 2 3 3 3 4 3" xfId="28510"/>
    <cellStyle name="Normal 3 2 3 3 3 4 4" xfId="28511"/>
    <cellStyle name="Normal 3 2 3 3 3 5" xfId="28512"/>
    <cellStyle name="Normal 3 2 3 3 3 6" xfId="28513"/>
    <cellStyle name="Normal 3 2 3 3 3 7" xfId="28514"/>
    <cellStyle name="Normal 3 2 3 3 4" xfId="2471"/>
    <cellStyle name="Normal 3 2 3 3 4 2" xfId="28515"/>
    <cellStyle name="Normal 3 2 3 3 4 2 2" xfId="28516"/>
    <cellStyle name="Normal 3 2 3 3 4 2 3" xfId="28517"/>
    <cellStyle name="Normal 3 2 3 3 4 2 4" xfId="28518"/>
    <cellStyle name="Normal 3 2 3 3 4 3" xfId="28519"/>
    <cellStyle name="Normal 3 2 3 3 4 4" xfId="28520"/>
    <cellStyle name="Normal 3 2 3 3 4 5" xfId="28521"/>
    <cellStyle name="Normal 3 2 3 3 5" xfId="2472"/>
    <cellStyle name="Normal 3 2 3 3 5 2" xfId="28522"/>
    <cellStyle name="Normal 3 2 3 3 5 2 2" xfId="28523"/>
    <cellStyle name="Normal 3 2 3 3 5 2 3" xfId="28524"/>
    <cellStyle name="Normal 3 2 3 3 5 2 4" xfId="28525"/>
    <cellStyle name="Normal 3 2 3 3 5 3" xfId="28526"/>
    <cellStyle name="Normal 3 2 3 3 5 4" xfId="28527"/>
    <cellStyle name="Normal 3 2 3 3 5 5" xfId="28528"/>
    <cellStyle name="Normal 3 2 3 3 6" xfId="28529"/>
    <cellStyle name="Normal 3 2 3 3 6 2" xfId="28530"/>
    <cellStyle name="Normal 3 2 3 3 6 3" xfId="28531"/>
    <cellStyle name="Normal 3 2 3 3 6 4" xfId="28532"/>
    <cellStyle name="Normal 3 2 3 3 7" xfId="28533"/>
    <cellStyle name="Normal 3 2 3 3 8" xfId="28534"/>
    <cellStyle name="Normal 3 2 3 3 9" xfId="28535"/>
    <cellStyle name="Normal 3 2 3 4" xfId="2473"/>
    <cellStyle name="Normal 3 2 3 5" xfId="2474"/>
    <cellStyle name="Normal 3 2 3 6" xfId="2475"/>
    <cellStyle name="Normal 3 2 3 7" xfId="2476"/>
    <cellStyle name="Normal 3 2 3 8" xfId="28536"/>
    <cellStyle name="Normal 3 2 3 9" xfId="28537"/>
    <cellStyle name="Normal 3 2 4" xfId="2477"/>
    <cellStyle name="Normal 3 2 4 2" xfId="2478"/>
    <cellStyle name="Normal 3 2 4 2 2" xfId="2479"/>
    <cellStyle name="Normal 3 2 4 2 2 2" xfId="2480"/>
    <cellStyle name="Normal 3 2 4 2 2 2 2" xfId="28538"/>
    <cellStyle name="Normal 3 2 4 2 2 2 2 2" xfId="28539"/>
    <cellStyle name="Normal 3 2 4 2 2 2 2 3" xfId="28540"/>
    <cellStyle name="Normal 3 2 4 2 2 2 2 4" xfId="28541"/>
    <cellStyle name="Normal 3 2 4 2 2 2 3" xfId="28542"/>
    <cellStyle name="Normal 3 2 4 2 2 2 4" xfId="28543"/>
    <cellStyle name="Normal 3 2 4 2 2 2 5" xfId="28544"/>
    <cellStyle name="Normal 3 2 4 2 2 3" xfId="2481"/>
    <cellStyle name="Normal 3 2 4 2 2 3 2" xfId="28545"/>
    <cellStyle name="Normal 3 2 4 2 2 3 2 2" xfId="28546"/>
    <cellStyle name="Normal 3 2 4 2 2 3 2 3" xfId="28547"/>
    <cellStyle name="Normal 3 2 4 2 2 3 2 4" xfId="28548"/>
    <cellStyle name="Normal 3 2 4 2 2 3 3" xfId="28549"/>
    <cellStyle name="Normal 3 2 4 2 2 3 4" xfId="28550"/>
    <cellStyle name="Normal 3 2 4 2 2 3 5" xfId="28551"/>
    <cellStyle name="Normal 3 2 4 2 2 4" xfId="28552"/>
    <cellStyle name="Normal 3 2 4 2 2 4 2" xfId="28553"/>
    <cellStyle name="Normal 3 2 4 2 2 4 3" xfId="28554"/>
    <cellStyle name="Normal 3 2 4 2 2 4 4" xfId="28555"/>
    <cellStyle name="Normal 3 2 4 2 2 5" xfId="28556"/>
    <cellStyle name="Normal 3 2 4 2 2 6" xfId="28557"/>
    <cellStyle name="Normal 3 2 4 2 2 7" xfId="28558"/>
    <cellStyle name="Normal 3 2 4 2 3" xfId="2482"/>
    <cellStyle name="Normal 3 2 4 2 3 2" xfId="28559"/>
    <cellStyle name="Normal 3 2 4 2 3 2 2" xfId="28560"/>
    <cellStyle name="Normal 3 2 4 2 3 2 3" xfId="28561"/>
    <cellStyle name="Normal 3 2 4 2 3 2 4" xfId="28562"/>
    <cellStyle name="Normal 3 2 4 2 3 3" xfId="28563"/>
    <cellStyle name="Normal 3 2 4 2 3 4" xfId="28564"/>
    <cellStyle name="Normal 3 2 4 2 3 5" xfId="28565"/>
    <cellStyle name="Normal 3 2 4 2 4" xfId="2483"/>
    <cellStyle name="Normal 3 2 4 2 4 2" xfId="28566"/>
    <cellStyle name="Normal 3 2 4 2 4 2 2" xfId="28567"/>
    <cellStyle name="Normal 3 2 4 2 4 2 3" xfId="28568"/>
    <cellStyle name="Normal 3 2 4 2 4 2 4" xfId="28569"/>
    <cellStyle name="Normal 3 2 4 2 4 3" xfId="28570"/>
    <cellStyle name="Normal 3 2 4 2 4 4" xfId="28571"/>
    <cellStyle name="Normal 3 2 4 2 4 5" xfId="28572"/>
    <cellStyle name="Normal 3 2 4 2 5" xfId="28573"/>
    <cellStyle name="Normal 3 2 4 2 5 2" xfId="28574"/>
    <cellStyle name="Normal 3 2 4 2 5 3" xfId="28575"/>
    <cellStyle name="Normal 3 2 4 2 5 4" xfId="28576"/>
    <cellStyle name="Normal 3 2 4 2 6" xfId="28577"/>
    <cellStyle name="Normal 3 2 4 2 7" xfId="28578"/>
    <cellStyle name="Normal 3 2 4 2 8" xfId="28579"/>
    <cellStyle name="Normal 3 2 4 3" xfId="2484"/>
    <cellStyle name="Normal 3 2 4 3 2" xfId="2485"/>
    <cellStyle name="Normal 3 2 4 3 2 2" xfId="28580"/>
    <cellStyle name="Normal 3 2 4 3 2 2 2" xfId="28581"/>
    <cellStyle name="Normal 3 2 4 3 2 2 3" xfId="28582"/>
    <cellStyle name="Normal 3 2 4 3 2 2 4" xfId="28583"/>
    <cellStyle name="Normal 3 2 4 3 2 3" xfId="28584"/>
    <cellStyle name="Normal 3 2 4 3 2 4" xfId="28585"/>
    <cellStyle name="Normal 3 2 4 3 2 5" xfId="28586"/>
    <cellStyle name="Normal 3 2 4 3 3" xfId="2486"/>
    <cellStyle name="Normal 3 2 4 3 3 2" xfId="28587"/>
    <cellStyle name="Normal 3 2 4 3 3 2 2" xfId="28588"/>
    <cellStyle name="Normal 3 2 4 3 3 2 3" xfId="28589"/>
    <cellStyle name="Normal 3 2 4 3 3 2 4" xfId="28590"/>
    <cellStyle name="Normal 3 2 4 3 3 3" xfId="28591"/>
    <cellStyle name="Normal 3 2 4 3 3 4" xfId="28592"/>
    <cellStyle name="Normal 3 2 4 3 3 5" xfId="28593"/>
    <cellStyle name="Normal 3 2 4 3 4" xfId="28594"/>
    <cellStyle name="Normal 3 2 4 3 4 2" xfId="28595"/>
    <cellStyle name="Normal 3 2 4 3 4 3" xfId="28596"/>
    <cellStyle name="Normal 3 2 4 3 4 4" xfId="28597"/>
    <cellStyle name="Normal 3 2 4 3 5" xfId="28598"/>
    <cellStyle name="Normal 3 2 4 3 6" xfId="28599"/>
    <cellStyle name="Normal 3 2 4 3 7" xfId="28600"/>
    <cellStyle name="Normal 3 2 4 4" xfId="2487"/>
    <cellStyle name="Normal 3 2 4 4 2" xfId="28601"/>
    <cellStyle name="Normal 3 2 4 4 2 2" xfId="28602"/>
    <cellStyle name="Normal 3 2 4 4 2 3" xfId="28603"/>
    <cellStyle name="Normal 3 2 4 4 2 4" xfId="28604"/>
    <cellStyle name="Normal 3 2 4 4 3" xfId="28605"/>
    <cellStyle name="Normal 3 2 4 4 4" xfId="28606"/>
    <cellStyle name="Normal 3 2 4 4 5" xfId="28607"/>
    <cellStyle name="Normal 3 2 4 5" xfId="2488"/>
    <cellStyle name="Normal 3 2 4 5 2" xfId="28608"/>
    <cellStyle name="Normal 3 2 4 5 2 2" xfId="28609"/>
    <cellStyle name="Normal 3 2 4 5 2 3" xfId="28610"/>
    <cellStyle name="Normal 3 2 4 5 2 4" xfId="28611"/>
    <cellStyle name="Normal 3 2 4 5 3" xfId="28612"/>
    <cellStyle name="Normal 3 2 4 5 4" xfId="28613"/>
    <cellStyle name="Normal 3 2 4 5 5" xfId="28614"/>
    <cellStyle name="Normal 3 2 4 6" xfId="28615"/>
    <cellStyle name="Normal 3 2 4 6 2" xfId="28616"/>
    <cellStyle name="Normal 3 2 4 6 3" xfId="28617"/>
    <cellStyle name="Normal 3 2 4 6 4" xfId="28618"/>
    <cellStyle name="Normal 3 2 4 7" xfId="28619"/>
    <cellStyle name="Normal 3 2 4 8" xfId="28620"/>
    <cellStyle name="Normal 3 2 4 9" xfId="28621"/>
    <cellStyle name="Normal 3 2 5" xfId="2489"/>
    <cellStyle name="Normal 3 2 5 2" xfId="2490"/>
    <cellStyle name="Normal 3 2 5 2 2" xfId="2491"/>
    <cellStyle name="Normal 3 2 5 2 2 2" xfId="2492"/>
    <cellStyle name="Normal 3 2 5 2 2 2 2" xfId="28622"/>
    <cellStyle name="Normal 3 2 5 2 2 2 2 2" xfId="28623"/>
    <cellStyle name="Normal 3 2 5 2 2 2 2 3" xfId="28624"/>
    <cellStyle name="Normal 3 2 5 2 2 2 2 4" xfId="28625"/>
    <cellStyle name="Normal 3 2 5 2 2 2 3" xfId="28626"/>
    <cellStyle name="Normal 3 2 5 2 2 2 4" xfId="28627"/>
    <cellStyle name="Normal 3 2 5 2 2 2 5" xfId="28628"/>
    <cellStyle name="Normal 3 2 5 2 2 3" xfId="2493"/>
    <cellStyle name="Normal 3 2 5 2 2 3 2" xfId="28629"/>
    <cellStyle name="Normal 3 2 5 2 2 3 2 2" xfId="28630"/>
    <cellStyle name="Normal 3 2 5 2 2 3 2 3" xfId="28631"/>
    <cellStyle name="Normal 3 2 5 2 2 3 2 4" xfId="28632"/>
    <cellStyle name="Normal 3 2 5 2 2 3 3" xfId="28633"/>
    <cellStyle name="Normal 3 2 5 2 2 3 4" xfId="28634"/>
    <cellStyle name="Normal 3 2 5 2 2 3 5" xfId="28635"/>
    <cellStyle name="Normal 3 2 5 2 2 4" xfId="28636"/>
    <cellStyle name="Normal 3 2 5 2 2 4 2" xfId="28637"/>
    <cellStyle name="Normal 3 2 5 2 2 4 3" xfId="28638"/>
    <cellStyle name="Normal 3 2 5 2 2 4 4" xfId="28639"/>
    <cellStyle name="Normal 3 2 5 2 2 5" xfId="28640"/>
    <cellStyle name="Normal 3 2 5 2 2 6" xfId="28641"/>
    <cellStyle name="Normal 3 2 5 2 2 7" xfId="28642"/>
    <cellStyle name="Normal 3 2 5 2 3" xfId="2494"/>
    <cellStyle name="Normal 3 2 5 2 3 2" xfId="28643"/>
    <cellStyle name="Normal 3 2 5 2 3 2 2" xfId="28644"/>
    <cellStyle name="Normal 3 2 5 2 3 2 3" xfId="28645"/>
    <cellStyle name="Normal 3 2 5 2 3 2 4" xfId="28646"/>
    <cellStyle name="Normal 3 2 5 2 3 3" xfId="28647"/>
    <cellStyle name="Normal 3 2 5 2 3 4" xfId="28648"/>
    <cellStyle name="Normal 3 2 5 2 3 5" xfId="28649"/>
    <cellStyle name="Normal 3 2 5 2 4" xfId="2495"/>
    <cellStyle name="Normal 3 2 5 2 4 2" xfId="28650"/>
    <cellStyle name="Normal 3 2 5 2 4 2 2" xfId="28651"/>
    <cellStyle name="Normal 3 2 5 2 4 2 3" xfId="28652"/>
    <cellStyle name="Normal 3 2 5 2 4 2 4" xfId="28653"/>
    <cellStyle name="Normal 3 2 5 2 4 3" xfId="28654"/>
    <cellStyle name="Normal 3 2 5 2 4 4" xfId="28655"/>
    <cellStyle name="Normal 3 2 5 2 4 5" xfId="28656"/>
    <cellStyle name="Normal 3 2 5 2 5" xfId="28657"/>
    <cellStyle name="Normal 3 2 5 2 5 2" xfId="28658"/>
    <cellStyle name="Normal 3 2 5 2 5 3" xfId="28659"/>
    <cellStyle name="Normal 3 2 5 2 5 4" xfId="28660"/>
    <cellStyle name="Normal 3 2 5 2 6" xfId="28661"/>
    <cellStyle name="Normal 3 2 5 2 7" xfId="28662"/>
    <cellStyle name="Normal 3 2 5 2 8" xfId="28663"/>
    <cellStyle name="Normal 3 2 5 3" xfId="2496"/>
    <cellStyle name="Normal 3 2 5 3 2" xfId="2497"/>
    <cellStyle name="Normal 3 2 5 3 2 2" xfId="28664"/>
    <cellStyle name="Normal 3 2 5 3 2 2 2" xfId="28665"/>
    <cellStyle name="Normal 3 2 5 3 2 2 3" xfId="28666"/>
    <cellStyle name="Normal 3 2 5 3 2 2 4" xfId="28667"/>
    <cellStyle name="Normal 3 2 5 3 2 3" xfId="28668"/>
    <cellStyle name="Normal 3 2 5 3 2 4" xfId="28669"/>
    <cellStyle name="Normal 3 2 5 3 2 5" xfId="28670"/>
    <cellStyle name="Normal 3 2 5 3 3" xfId="2498"/>
    <cellStyle name="Normal 3 2 5 3 3 2" xfId="28671"/>
    <cellStyle name="Normal 3 2 5 3 3 2 2" xfId="28672"/>
    <cellStyle name="Normal 3 2 5 3 3 2 3" xfId="28673"/>
    <cellStyle name="Normal 3 2 5 3 3 2 4" xfId="28674"/>
    <cellStyle name="Normal 3 2 5 3 3 3" xfId="28675"/>
    <cellStyle name="Normal 3 2 5 3 3 4" xfId="28676"/>
    <cellStyle name="Normal 3 2 5 3 3 5" xfId="28677"/>
    <cellStyle name="Normal 3 2 5 3 4" xfId="28678"/>
    <cellStyle name="Normal 3 2 5 3 4 2" xfId="28679"/>
    <cellStyle name="Normal 3 2 5 3 4 3" xfId="28680"/>
    <cellStyle name="Normal 3 2 5 3 4 4" xfId="28681"/>
    <cellStyle name="Normal 3 2 5 3 5" xfId="28682"/>
    <cellStyle name="Normal 3 2 5 3 6" xfId="28683"/>
    <cellStyle name="Normal 3 2 5 3 7" xfId="28684"/>
    <cellStyle name="Normal 3 2 5 4" xfId="2499"/>
    <cellStyle name="Normal 3 2 5 4 2" xfId="28685"/>
    <cellStyle name="Normal 3 2 5 4 2 2" xfId="28686"/>
    <cellStyle name="Normal 3 2 5 4 2 3" xfId="28687"/>
    <cellStyle name="Normal 3 2 5 4 2 4" xfId="28688"/>
    <cellStyle name="Normal 3 2 5 4 3" xfId="28689"/>
    <cellStyle name="Normal 3 2 5 4 4" xfId="28690"/>
    <cellStyle name="Normal 3 2 5 4 5" xfId="28691"/>
    <cellStyle name="Normal 3 2 5 5" xfId="2500"/>
    <cellStyle name="Normal 3 2 5 5 2" xfId="28692"/>
    <cellStyle name="Normal 3 2 5 5 2 2" xfId="28693"/>
    <cellStyle name="Normal 3 2 5 5 2 3" xfId="28694"/>
    <cellStyle name="Normal 3 2 5 5 2 4" xfId="28695"/>
    <cellStyle name="Normal 3 2 5 5 3" xfId="28696"/>
    <cellStyle name="Normal 3 2 5 5 4" xfId="28697"/>
    <cellStyle name="Normal 3 2 5 5 5" xfId="28698"/>
    <cellStyle name="Normal 3 2 5 6" xfId="28699"/>
    <cellStyle name="Normal 3 2 5 6 2" xfId="28700"/>
    <cellStyle name="Normal 3 2 5 6 3" xfId="28701"/>
    <cellStyle name="Normal 3 2 5 6 4" xfId="28702"/>
    <cellStyle name="Normal 3 2 5 7" xfId="28703"/>
    <cellStyle name="Normal 3 2 5 8" xfId="28704"/>
    <cellStyle name="Normal 3 2 5 9" xfId="28705"/>
    <cellStyle name="Normal 3 2 6" xfId="2501"/>
    <cellStyle name="Normal 3 2 6 2" xfId="2502"/>
    <cellStyle name="Normal 3 2 6 2 2" xfId="2503"/>
    <cellStyle name="Normal 3 2 6 2 2 2" xfId="2504"/>
    <cellStyle name="Normal 3 2 6 2 2 2 2" xfId="28706"/>
    <cellStyle name="Normal 3 2 6 2 2 2 2 2" xfId="28707"/>
    <cellStyle name="Normal 3 2 6 2 2 2 2 3" xfId="28708"/>
    <cellStyle name="Normal 3 2 6 2 2 2 2 4" xfId="28709"/>
    <cellStyle name="Normal 3 2 6 2 2 2 3" xfId="28710"/>
    <cellStyle name="Normal 3 2 6 2 2 2 4" xfId="28711"/>
    <cellStyle name="Normal 3 2 6 2 2 2 5" xfId="28712"/>
    <cellStyle name="Normal 3 2 6 2 2 3" xfId="2505"/>
    <cellStyle name="Normal 3 2 6 2 2 3 2" xfId="28713"/>
    <cellStyle name="Normal 3 2 6 2 2 3 2 2" xfId="28714"/>
    <cellStyle name="Normal 3 2 6 2 2 3 2 3" xfId="28715"/>
    <cellStyle name="Normal 3 2 6 2 2 3 2 4" xfId="28716"/>
    <cellStyle name="Normal 3 2 6 2 2 3 3" xfId="28717"/>
    <cellStyle name="Normal 3 2 6 2 2 3 4" xfId="28718"/>
    <cellStyle name="Normal 3 2 6 2 2 3 5" xfId="28719"/>
    <cellStyle name="Normal 3 2 6 2 2 4" xfId="28720"/>
    <cellStyle name="Normal 3 2 6 2 2 4 2" xfId="28721"/>
    <cellStyle name="Normal 3 2 6 2 2 4 3" xfId="28722"/>
    <cellStyle name="Normal 3 2 6 2 2 4 4" xfId="28723"/>
    <cellStyle name="Normal 3 2 6 2 2 5" xfId="28724"/>
    <cellStyle name="Normal 3 2 6 2 2 6" xfId="28725"/>
    <cellStyle name="Normal 3 2 6 2 2 7" xfId="28726"/>
    <cellStyle name="Normal 3 2 6 2 3" xfId="2506"/>
    <cellStyle name="Normal 3 2 6 2 3 2" xfId="28727"/>
    <cellStyle name="Normal 3 2 6 2 3 2 2" xfId="28728"/>
    <cellStyle name="Normal 3 2 6 2 3 2 3" xfId="28729"/>
    <cellStyle name="Normal 3 2 6 2 3 2 4" xfId="28730"/>
    <cellStyle name="Normal 3 2 6 2 3 3" xfId="28731"/>
    <cellStyle name="Normal 3 2 6 2 3 4" xfId="28732"/>
    <cellStyle name="Normal 3 2 6 2 3 5" xfId="28733"/>
    <cellStyle name="Normal 3 2 6 2 4" xfId="2507"/>
    <cellStyle name="Normal 3 2 6 2 4 2" xfId="28734"/>
    <cellStyle name="Normal 3 2 6 2 4 2 2" xfId="28735"/>
    <cellStyle name="Normal 3 2 6 2 4 2 3" xfId="28736"/>
    <cellStyle name="Normal 3 2 6 2 4 2 4" xfId="28737"/>
    <cellStyle name="Normal 3 2 6 2 4 3" xfId="28738"/>
    <cellStyle name="Normal 3 2 6 2 4 4" xfId="28739"/>
    <cellStyle name="Normal 3 2 6 2 4 5" xfId="28740"/>
    <cellStyle name="Normal 3 2 6 2 5" xfId="28741"/>
    <cellStyle name="Normal 3 2 6 2 5 2" xfId="28742"/>
    <cellStyle name="Normal 3 2 6 2 5 3" xfId="28743"/>
    <cellStyle name="Normal 3 2 6 2 5 4" xfId="28744"/>
    <cellStyle name="Normal 3 2 6 2 6" xfId="28745"/>
    <cellStyle name="Normal 3 2 6 2 7" xfId="28746"/>
    <cellStyle name="Normal 3 2 6 2 8" xfId="28747"/>
    <cellStyle name="Normal 3 2 6 3" xfId="2508"/>
    <cellStyle name="Normal 3 2 6 3 2" xfId="2509"/>
    <cellStyle name="Normal 3 2 6 3 2 2" xfId="28748"/>
    <cellStyle name="Normal 3 2 6 3 2 2 2" xfId="28749"/>
    <cellStyle name="Normal 3 2 6 3 2 2 3" xfId="28750"/>
    <cellStyle name="Normal 3 2 6 3 2 2 4" xfId="28751"/>
    <cellStyle name="Normal 3 2 6 3 2 3" xfId="28752"/>
    <cellStyle name="Normal 3 2 6 3 2 4" xfId="28753"/>
    <cellStyle name="Normal 3 2 6 3 2 5" xfId="28754"/>
    <cellStyle name="Normal 3 2 6 3 3" xfId="2510"/>
    <cellStyle name="Normal 3 2 6 3 3 2" xfId="28755"/>
    <cellStyle name="Normal 3 2 6 3 3 2 2" xfId="28756"/>
    <cellStyle name="Normal 3 2 6 3 3 2 3" xfId="28757"/>
    <cellStyle name="Normal 3 2 6 3 3 2 4" xfId="28758"/>
    <cellStyle name="Normal 3 2 6 3 3 3" xfId="28759"/>
    <cellStyle name="Normal 3 2 6 3 3 4" xfId="28760"/>
    <cellStyle name="Normal 3 2 6 3 3 5" xfId="28761"/>
    <cellStyle name="Normal 3 2 6 3 4" xfId="28762"/>
    <cellStyle name="Normal 3 2 6 3 4 2" xfId="28763"/>
    <cellStyle name="Normal 3 2 6 3 4 3" xfId="28764"/>
    <cellStyle name="Normal 3 2 6 3 4 4" xfId="28765"/>
    <cellStyle name="Normal 3 2 6 3 5" xfId="28766"/>
    <cellStyle name="Normal 3 2 6 3 6" xfId="28767"/>
    <cellStyle name="Normal 3 2 6 3 7" xfId="28768"/>
    <cellStyle name="Normal 3 2 6 4" xfId="2511"/>
    <cellStyle name="Normal 3 2 6 4 2" xfId="28769"/>
    <cellStyle name="Normal 3 2 6 4 2 2" xfId="28770"/>
    <cellStyle name="Normal 3 2 6 4 2 3" xfId="28771"/>
    <cellStyle name="Normal 3 2 6 4 2 4" xfId="28772"/>
    <cellStyle name="Normal 3 2 6 4 3" xfId="28773"/>
    <cellStyle name="Normal 3 2 6 4 4" xfId="28774"/>
    <cellStyle name="Normal 3 2 6 4 5" xfId="28775"/>
    <cellStyle name="Normal 3 2 6 5" xfId="2512"/>
    <cellStyle name="Normal 3 2 6 5 2" xfId="28776"/>
    <cellStyle name="Normal 3 2 6 5 2 2" xfId="28777"/>
    <cellStyle name="Normal 3 2 6 5 2 3" xfId="28778"/>
    <cellStyle name="Normal 3 2 6 5 2 4" xfId="28779"/>
    <cellStyle name="Normal 3 2 6 5 3" xfId="28780"/>
    <cellStyle name="Normal 3 2 6 5 4" xfId="28781"/>
    <cellStyle name="Normal 3 2 6 5 5" xfId="28782"/>
    <cellStyle name="Normal 3 2 6 6" xfId="28783"/>
    <cellStyle name="Normal 3 2 6 6 2" xfId="28784"/>
    <cellStyle name="Normal 3 2 6 6 3" xfId="28785"/>
    <cellStyle name="Normal 3 2 6 6 4" xfId="28786"/>
    <cellStyle name="Normal 3 2 6 7" xfId="28787"/>
    <cellStyle name="Normal 3 2 6 8" xfId="28788"/>
    <cellStyle name="Normal 3 2 6 9" xfId="28789"/>
    <cellStyle name="Normal 3 2 7" xfId="2513"/>
    <cellStyle name="Normal 3 2 7 2" xfId="2514"/>
    <cellStyle name="Normal 3 2 7 2 2" xfId="2515"/>
    <cellStyle name="Normal 3 2 7 2 2 2" xfId="2516"/>
    <cellStyle name="Normal 3 2 7 2 2 2 2" xfId="28790"/>
    <cellStyle name="Normal 3 2 7 2 2 2 2 2" xfId="28791"/>
    <cellStyle name="Normal 3 2 7 2 2 2 2 3" xfId="28792"/>
    <cellStyle name="Normal 3 2 7 2 2 2 2 4" xfId="28793"/>
    <cellStyle name="Normal 3 2 7 2 2 2 3" xfId="28794"/>
    <cellStyle name="Normal 3 2 7 2 2 2 4" xfId="28795"/>
    <cellStyle name="Normal 3 2 7 2 2 2 5" xfId="28796"/>
    <cellStyle name="Normal 3 2 7 2 2 3" xfId="2517"/>
    <cellStyle name="Normal 3 2 7 2 2 3 2" xfId="28797"/>
    <cellStyle name="Normal 3 2 7 2 2 3 2 2" xfId="28798"/>
    <cellStyle name="Normal 3 2 7 2 2 3 2 3" xfId="28799"/>
    <cellStyle name="Normal 3 2 7 2 2 3 2 4" xfId="28800"/>
    <cellStyle name="Normal 3 2 7 2 2 3 3" xfId="28801"/>
    <cellStyle name="Normal 3 2 7 2 2 3 4" xfId="28802"/>
    <cellStyle name="Normal 3 2 7 2 2 3 5" xfId="28803"/>
    <cellStyle name="Normal 3 2 7 2 2 4" xfId="28804"/>
    <cellStyle name="Normal 3 2 7 2 2 4 2" xfId="28805"/>
    <cellStyle name="Normal 3 2 7 2 2 4 3" xfId="28806"/>
    <cellStyle name="Normal 3 2 7 2 2 4 4" xfId="28807"/>
    <cellStyle name="Normal 3 2 7 2 2 5" xfId="28808"/>
    <cellStyle name="Normal 3 2 7 2 2 6" xfId="28809"/>
    <cellStyle name="Normal 3 2 7 2 2 7" xfId="28810"/>
    <cellStyle name="Normal 3 2 7 2 3" xfId="2518"/>
    <cellStyle name="Normal 3 2 7 2 3 2" xfId="28811"/>
    <cellStyle name="Normal 3 2 7 2 3 2 2" xfId="28812"/>
    <cellStyle name="Normal 3 2 7 2 3 2 3" xfId="28813"/>
    <cellStyle name="Normal 3 2 7 2 3 2 4" xfId="28814"/>
    <cellStyle name="Normal 3 2 7 2 3 3" xfId="28815"/>
    <cellStyle name="Normal 3 2 7 2 3 4" xfId="28816"/>
    <cellStyle name="Normal 3 2 7 2 3 5" xfId="28817"/>
    <cellStyle name="Normal 3 2 7 2 4" xfId="2519"/>
    <cellStyle name="Normal 3 2 7 2 4 2" xfId="28818"/>
    <cellStyle name="Normal 3 2 7 2 4 2 2" xfId="28819"/>
    <cellStyle name="Normal 3 2 7 2 4 2 3" xfId="28820"/>
    <cellStyle name="Normal 3 2 7 2 4 2 4" xfId="28821"/>
    <cellStyle name="Normal 3 2 7 2 4 3" xfId="28822"/>
    <cellStyle name="Normal 3 2 7 2 4 4" xfId="28823"/>
    <cellStyle name="Normal 3 2 7 2 4 5" xfId="28824"/>
    <cellStyle name="Normal 3 2 7 2 5" xfId="28825"/>
    <cellStyle name="Normal 3 2 7 2 5 2" xfId="28826"/>
    <cellStyle name="Normal 3 2 7 2 5 3" xfId="28827"/>
    <cellStyle name="Normal 3 2 7 2 5 4" xfId="28828"/>
    <cellStyle name="Normal 3 2 7 2 6" xfId="28829"/>
    <cellStyle name="Normal 3 2 7 2 7" xfId="28830"/>
    <cellStyle name="Normal 3 2 7 2 8" xfId="28831"/>
    <cellStyle name="Normal 3 2 7 3" xfId="2520"/>
    <cellStyle name="Normal 3 2 7 3 2" xfId="2521"/>
    <cellStyle name="Normal 3 2 7 3 2 2" xfId="28832"/>
    <cellStyle name="Normal 3 2 7 3 2 2 2" xfId="28833"/>
    <cellStyle name="Normal 3 2 7 3 2 2 3" xfId="28834"/>
    <cellStyle name="Normal 3 2 7 3 2 2 4" xfId="28835"/>
    <cellStyle name="Normal 3 2 7 3 2 3" xfId="28836"/>
    <cellStyle name="Normal 3 2 7 3 2 4" xfId="28837"/>
    <cellStyle name="Normal 3 2 7 3 2 5" xfId="28838"/>
    <cellStyle name="Normal 3 2 7 3 3" xfId="2522"/>
    <cellStyle name="Normal 3 2 7 3 3 2" xfId="28839"/>
    <cellStyle name="Normal 3 2 7 3 3 2 2" xfId="28840"/>
    <cellStyle name="Normal 3 2 7 3 3 2 3" xfId="28841"/>
    <cellStyle name="Normal 3 2 7 3 3 2 4" xfId="28842"/>
    <cellStyle name="Normal 3 2 7 3 3 3" xfId="28843"/>
    <cellStyle name="Normal 3 2 7 3 3 4" xfId="28844"/>
    <cellStyle name="Normal 3 2 7 3 3 5" xfId="28845"/>
    <cellStyle name="Normal 3 2 7 3 4" xfId="28846"/>
    <cellStyle name="Normal 3 2 7 3 4 2" xfId="28847"/>
    <cellStyle name="Normal 3 2 7 3 4 3" xfId="28848"/>
    <cellStyle name="Normal 3 2 7 3 4 4" xfId="28849"/>
    <cellStyle name="Normal 3 2 7 3 5" xfId="28850"/>
    <cellStyle name="Normal 3 2 7 3 6" xfId="28851"/>
    <cellStyle name="Normal 3 2 7 3 7" xfId="28852"/>
    <cellStyle name="Normal 3 2 7 4" xfId="2523"/>
    <cellStyle name="Normal 3 2 7 4 2" xfId="28853"/>
    <cellStyle name="Normal 3 2 7 4 2 2" xfId="28854"/>
    <cellStyle name="Normal 3 2 7 4 2 3" xfId="28855"/>
    <cellStyle name="Normal 3 2 7 4 2 4" xfId="28856"/>
    <cellStyle name="Normal 3 2 7 4 3" xfId="28857"/>
    <cellStyle name="Normal 3 2 7 4 4" xfId="28858"/>
    <cellStyle name="Normal 3 2 7 4 5" xfId="28859"/>
    <cellStyle name="Normal 3 2 7 5" xfId="2524"/>
    <cellStyle name="Normal 3 2 7 5 2" xfId="28860"/>
    <cellStyle name="Normal 3 2 7 5 2 2" xfId="28861"/>
    <cellStyle name="Normal 3 2 7 5 2 3" xfId="28862"/>
    <cellStyle name="Normal 3 2 7 5 2 4" xfId="28863"/>
    <cellStyle name="Normal 3 2 7 5 3" xfId="28864"/>
    <cellStyle name="Normal 3 2 7 5 4" xfId="28865"/>
    <cellStyle name="Normal 3 2 7 5 5" xfId="28866"/>
    <cellStyle name="Normal 3 2 7 6" xfId="28867"/>
    <cellStyle name="Normal 3 2 7 6 2" xfId="28868"/>
    <cellStyle name="Normal 3 2 7 6 3" xfId="28869"/>
    <cellStyle name="Normal 3 2 7 6 4" xfId="28870"/>
    <cellStyle name="Normal 3 2 7 7" xfId="28871"/>
    <cellStyle name="Normal 3 2 7 8" xfId="28872"/>
    <cellStyle name="Normal 3 2 7 9" xfId="28873"/>
    <cellStyle name="Normal 3 2 8" xfId="2525"/>
    <cellStyle name="Normal 3 2 8 2" xfId="2526"/>
    <cellStyle name="Normal 3 2 8 2 2" xfId="2527"/>
    <cellStyle name="Normal 3 2 8 2 2 2" xfId="2528"/>
    <cellStyle name="Normal 3 2 8 2 2 2 2" xfId="28874"/>
    <cellStyle name="Normal 3 2 8 2 2 2 2 2" xfId="28875"/>
    <cellStyle name="Normal 3 2 8 2 2 2 2 3" xfId="28876"/>
    <cellStyle name="Normal 3 2 8 2 2 2 2 4" xfId="28877"/>
    <cellStyle name="Normal 3 2 8 2 2 2 3" xfId="28878"/>
    <cellStyle name="Normal 3 2 8 2 2 2 4" xfId="28879"/>
    <cellStyle name="Normal 3 2 8 2 2 2 5" xfId="28880"/>
    <cellStyle name="Normal 3 2 8 2 2 3" xfId="2529"/>
    <cellStyle name="Normal 3 2 8 2 2 3 2" xfId="28881"/>
    <cellStyle name="Normal 3 2 8 2 2 3 2 2" xfId="28882"/>
    <cellStyle name="Normal 3 2 8 2 2 3 2 3" xfId="28883"/>
    <cellStyle name="Normal 3 2 8 2 2 3 2 4" xfId="28884"/>
    <cellStyle name="Normal 3 2 8 2 2 3 3" xfId="28885"/>
    <cellStyle name="Normal 3 2 8 2 2 3 4" xfId="28886"/>
    <cellStyle name="Normal 3 2 8 2 2 3 5" xfId="28887"/>
    <cellStyle name="Normal 3 2 8 2 2 4" xfId="28888"/>
    <cellStyle name="Normal 3 2 8 2 2 4 2" xfId="28889"/>
    <cellStyle name="Normal 3 2 8 2 2 4 3" xfId="28890"/>
    <cellStyle name="Normal 3 2 8 2 2 4 4" xfId="28891"/>
    <cellStyle name="Normal 3 2 8 2 2 5" xfId="28892"/>
    <cellStyle name="Normal 3 2 8 2 2 6" xfId="28893"/>
    <cellStyle name="Normal 3 2 8 2 2 7" xfId="28894"/>
    <cellStyle name="Normal 3 2 8 2 3" xfId="2530"/>
    <cellStyle name="Normal 3 2 8 2 3 2" xfId="28895"/>
    <cellStyle name="Normal 3 2 8 2 3 2 2" xfId="28896"/>
    <cellStyle name="Normal 3 2 8 2 3 2 3" xfId="28897"/>
    <cellStyle name="Normal 3 2 8 2 3 2 4" xfId="28898"/>
    <cellStyle name="Normal 3 2 8 2 3 3" xfId="28899"/>
    <cellStyle name="Normal 3 2 8 2 3 4" xfId="28900"/>
    <cellStyle name="Normal 3 2 8 2 3 5" xfId="28901"/>
    <cellStyle name="Normal 3 2 8 2 4" xfId="2531"/>
    <cellStyle name="Normal 3 2 8 2 4 2" xfId="28902"/>
    <cellStyle name="Normal 3 2 8 2 4 2 2" xfId="28903"/>
    <cellStyle name="Normal 3 2 8 2 4 2 3" xfId="28904"/>
    <cellStyle name="Normal 3 2 8 2 4 2 4" xfId="28905"/>
    <cellStyle name="Normal 3 2 8 2 4 3" xfId="28906"/>
    <cellStyle name="Normal 3 2 8 2 4 4" xfId="28907"/>
    <cellStyle name="Normal 3 2 8 2 4 5" xfId="28908"/>
    <cellStyle name="Normal 3 2 8 2 5" xfId="28909"/>
    <cellStyle name="Normal 3 2 8 2 5 2" xfId="28910"/>
    <cellStyle name="Normal 3 2 8 2 5 3" xfId="28911"/>
    <cellStyle name="Normal 3 2 8 2 5 4" xfId="28912"/>
    <cellStyle name="Normal 3 2 8 2 6" xfId="28913"/>
    <cellStyle name="Normal 3 2 8 2 7" xfId="28914"/>
    <cellStyle name="Normal 3 2 8 2 8" xfId="28915"/>
    <cellStyle name="Normal 3 2 8 3" xfId="2532"/>
    <cellStyle name="Normal 3 2 8 3 2" xfId="2533"/>
    <cellStyle name="Normal 3 2 8 3 2 2" xfId="28916"/>
    <cellStyle name="Normal 3 2 8 3 2 2 2" xfId="28917"/>
    <cellStyle name="Normal 3 2 8 3 2 2 3" xfId="28918"/>
    <cellStyle name="Normal 3 2 8 3 2 2 4" xfId="28919"/>
    <cellStyle name="Normal 3 2 8 3 2 3" xfId="28920"/>
    <cellStyle name="Normal 3 2 8 3 2 4" xfId="28921"/>
    <cellStyle name="Normal 3 2 8 3 2 5" xfId="28922"/>
    <cellStyle name="Normal 3 2 8 3 3" xfId="2534"/>
    <cellStyle name="Normal 3 2 8 3 3 2" xfId="28923"/>
    <cellStyle name="Normal 3 2 8 3 3 2 2" xfId="28924"/>
    <cellStyle name="Normal 3 2 8 3 3 2 3" xfId="28925"/>
    <cellStyle name="Normal 3 2 8 3 3 2 4" xfId="28926"/>
    <cellStyle name="Normal 3 2 8 3 3 3" xfId="28927"/>
    <cellStyle name="Normal 3 2 8 3 3 4" xfId="28928"/>
    <cellStyle name="Normal 3 2 8 3 3 5" xfId="28929"/>
    <cellStyle name="Normal 3 2 8 3 4" xfId="28930"/>
    <cellStyle name="Normal 3 2 8 3 4 2" xfId="28931"/>
    <cellStyle name="Normal 3 2 8 3 4 3" xfId="28932"/>
    <cellStyle name="Normal 3 2 8 3 4 4" xfId="28933"/>
    <cellStyle name="Normal 3 2 8 3 5" xfId="28934"/>
    <cellStyle name="Normal 3 2 8 3 6" xfId="28935"/>
    <cellStyle name="Normal 3 2 8 3 7" xfId="28936"/>
    <cellStyle name="Normal 3 2 8 4" xfId="2535"/>
    <cellStyle name="Normal 3 2 8 4 2" xfId="28937"/>
    <cellStyle name="Normal 3 2 8 4 2 2" xfId="28938"/>
    <cellStyle name="Normal 3 2 8 4 2 3" xfId="28939"/>
    <cellStyle name="Normal 3 2 8 4 2 4" xfId="28940"/>
    <cellStyle name="Normal 3 2 8 4 3" xfId="28941"/>
    <cellStyle name="Normal 3 2 8 4 4" xfId="28942"/>
    <cellStyle name="Normal 3 2 8 4 5" xfId="28943"/>
    <cellStyle name="Normal 3 2 8 5" xfId="2536"/>
    <cellStyle name="Normal 3 2 8 5 2" xfId="28944"/>
    <cellStyle name="Normal 3 2 8 5 2 2" xfId="28945"/>
    <cellStyle name="Normal 3 2 8 5 2 3" xfId="28946"/>
    <cellStyle name="Normal 3 2 8 5 2 4" xfId="28947"/>
    <cellStyle name="Normal 3 2 8 5 3" xfId="28948"/>
    <cellStyle name="Normal 3 2 8 5 4" xfId="28949"/>
    <cellStyle name="Normal 3 2 8 5 5" xfId="28950"/>
    <cellStyle name="Normal 3 2 8 6" xfId="28951"/>
    <cellStyle name="Normal 3 2 8 6 2" xfId="28952"/>
    <cellStyle name="Normal 3 2 8 6 3" xfId="28953"/>
    <cellStyle name="Normal 3 2 8 6 4" xfId="28954"/>
    <cellStyle name="Normal 3 2 8 7" xfId="28955"/>
    <cellStyle name="Normal 3 2 8 8" xfId="28956"/>
    <cellStyle name="Normal 3 2 8 9" xfId="28957"/>
    <cellStyle name="Normal 3 2 9" xfId="2537"/>
    <cellStyle name="Normal 3 2 9 2" xfId="2538"/>
    <cellStyle name="Normal 3 2 9 2 2" xfId="2539"/>
    <cellStyle name="Normal 3 2 9 2 2 2" xfId="2540"/>
    <cellStyle name="Normal 3 2 9 2 2 2 2" xfId="2541"/>
    <cellStyle name="Normal 3 2 9 2 2 2 2 2" xfId="28958"/>
    <cellStyle name="Normal 3 2 9 2 2 2 2 2 2" xfId="28959"/>
    <cellStyle name="Normal 3 2 9 2 2 2 2 2 3" xfId="28960"/>
    <cellStyle name="Normal 3 2 9 2 2 2 2 2 4" xfId="28961"/>
    <cellStyle name="Normal 3 2 9 2 2 2 2 3" xfId="28962"/>
    <cellStyle name="Normal 3 2 9 2 2 2 2 4" xfId="28963"/>
    <cellStyle name="Normal 3 2 9 2 2 2 2 5" xfId="28964"/>
    <cellStyle name="Normal 3 2 9 2 2 2 3" xfId="2542"/>
    <cellStyle name="Normal 3 2 9 2 2 2 3 2" xfId="28965"/>
    <cellStyle name="Normal 3 2 9 2 2 2 3 2 2" xfId="28966"/>
    <cellStyle name="Normal 3 2 9 2 2 2 3 2 3" xfId="28967"/>
    <cellStyle name="Normal 3 2 9 2 2 2 3 2 4" xfId="28968"/>
    <cellStyle name="Normal 3 2 9 2 2 2 3 3" xfId="28969"/>
    <cellStyle name="Normal 3 2 9 2 2 2 3 4" xfId="28970"/>
    <cellStyle name="Normal 3 2 9 2 2 2 3 5" xfId="28971"/>
    <cellStyle name="Normal 3 2 9 2 2 2 4" xfId="28972"/>
    <cellStyle name="Normal 3 2 9 2 2 2 4 2" xfId="28973"/>
    <cellStyle name="Normal 3 2 9 2 2 2 4 3" xfId="28974"/>
    <cellStyle name="Normal 3 2 9 2 2 2 4 4" xfId="28975"/>
    <cellStyle name="Normal 3 2 9 2 2 2 5" xfId="28976"/>
    <cellStyle name="Normal 3 2 9 2 2 2 6" xfId="28977"/>
    <cellStyle name="Normal 3 2 9 2 2 2 7" xfId="28978"/>
    <cellStyle name="Normal 3 2 9 2 2 3" xfId="2543"/>
    <cellStyle name="Normal 3 2 9 2 2 3 2" xfId="28979"/>
    <cellStyle name="Normal 3 2 9 2 2 3 2 2" xfId="28980"/>
    <cellStyle name="Normal 3 2 9 2 2 3 2 3" xfId="28981"/>
    <cellStyle name="Normal 3 2 9 2 2 3 2 4" xfId="28982"/>
    <cellStyle name="Normal 3 2 9 2 2 3 3" xfId="28983"/>
    <cellStyle name="Normal 3 2 9 2 2 3 4" xfId="28984"/>
    <cellStyle name="Normal 3 2 9 2 2 3 5" xfId="28985"/>
    <cellStyle name="Normal 3 2 9 2 2 4" xfId="2544"/>
    <cellStyle name="Normal 3 2 9 2 2 4 2" xfId="28986"/>
    <cellStyle name="Normal 3 2 9 2 2 4 2 2" xfId="28987"/>
    <cellStyle name="Normal 3 2 9 2 2 4 2 3" xfId="28988"/>
    <cellStyle name="Normal 3 2 9 2 2 4 2 4" xfId="28989"/>
    <cellStyle name="Normal 3 2 9 2 2 4 3" xfId="28990"/>
    <cellStyle name="Normal 3 2 9 2 2 4 4" xfId="28991"/>
    <cellStyle name="Normal 3 2 9 2 2 4 5" xfId="28992"/>
    <cellStyle name="Normal 3 2 9 2 2 5" xfId="28993"/>
    <cellStyle name="Normal 3 2 9 2 2 5 2" xfId="28994"/>
    <cellStyle name="Normal 3 2 9 2 2 5 3" xfId="28995"/>
    <cellStyle name="Normal 3 2 9 2 2 5 4" xfId="28996"/>
    <cellStyle name="Normal 3 2 9 2 2 6" xfId="28997"/>
    <cellStyle name="Normal 3 2 9 2 2 7" xfId="28998"/>
    <cellStyle name="Normal 3 2 9 2 2 8" xfId="28999"/>
    <cellStyle name="Normal 3 2 9 2 3" xfId="2545"/>
    <cellStyle name="Normal 3 2 9 2 3 2" xfId="2546"/>
    <cellStyle name="Normal 3 2 9 2 3 2 2" xfId="29000"/>
    <cellStyle name="Normal 3 2 9 2 3 2 2 2" xfId="29001"/>
    <cellStyle name="Normal 3 2 9 2 3 2 2 3" xfId="29002"/>
    <cellStyle name="Normal 3 2 9 2 3 2 2 4" xfId="29003"/>
    <cellStyle name="Normal 3 2 9 2 3 2 3" xfId="29004"/>
    <cellStyle name="Normal 3 2 9 2 3 2 4" xfId="29005"/>
    <cellStyle name="Normal 3 2 9 2 3 2 5" xfId="29006"/>
    <cellStyle name="Normal 3 2 9 2 3 3" xfId="2547"/>
    <cellStyle name="Normal 3 2 9 2 3 3 2" xfId="29007"/>
    <cellStyle name="Normal 3 2 9 2 3 3 2 2" xfId="29008"/>
    <cellStyle name="Normal 3 2 9 2 3 3 2 3" xfId="29009"/>
    <cellStyle name="Normal 3 2 9 2 3 3 2 4" xfId="29010"/>
    <cellStyle name="Normal 3 2 9 2 3 3 3" xfId="29011"/>
    <cellStyle name="Normal 3 2 9 2 3 3 4" xfId="29012"/>
    <cellStyle name="Normal 3 2 9 2 3 3 5" xfId="29013"/>
    <cellStyle name="Normal 3 2 9 2 3 4" xfId="29014"/>
    <cellStyle name="Normal 3 2 9 2 3 4 2" xfId="29015"/>
    <cellStyle name="Normal 3 2 9 2 3 4 3" xfId="29016"/>
    <cellStyle name="Normal 3 2 9 2 3 4 4" xfId="29017"/>
    <cellStyle name="Normal 3 2 9 2 3 5" xfId="29018"/>
    <cellStyle name="Normal 3 2 9 2 3 6" xfId="29019"/>
    <cellStyle name="Normal 3 2 9 2 3 7" xfId="29020"/>
    <cellStyle name="Normal 3 2 9 2 4" xfId="2548"/>
    <cellStyle name="Normal 3 2 9 2 4 2" xfId="29021"/>
    <cellStyle name="Normal 3 2 9 2 4 2 2" xfId="29022"/>
    <cellStyle name="Normal 3 2 9 2 4 2 3" xfId="29023"/>
    <cellStyle name="Normal 3 2 9 2 4 2 4" xfId="29024"/>
    <cellStyle name="Normal 3 2 9 2 4 3" xfId="29025"/>
    <cellStyle name="Normal 3 2 9 2 4 4" xfId="29026"/>
    <cellStyle name="Normal 3 2 9 2 4 5" xfId="29027"/>
    <cellStyle name="Normal 3 2 9 2 5" xfId="2549"/>
    <cellStyle name="Normal 3 2 9 2 5 2" xfId="29028"/>
    <cellStyle name="Normal 3 2 9 2 5 2 2" xfId="29029"/>
    <cellStyle name="Normal 3 2 9 2 5 2 3" xfId="29030"/>
    <cellStyle name="Normal 3 2 9 2 5 2 4" xfId="29031"/>
    <cellStyle name="Normal 3 2 9 2 5 3" xfId="29032"/>
    <cellStyle name="Normal 3 2 9 2 5 4" xfId="29033"/>
    <cellStyle name="Normal 3 2 9 2 5 5" xfId="29034"/>
    <cellStyle name="Normal 3 2 9 2 6" xfId="29035"/>
    <cellStyle name="Normal 3 2 9 2 6 2" xfId="29036"/>
    <cellStyle name="Normal 3 2 9 2 6 3" xfId="29037"/>
    <cellStyle name="Normal 3 2 9 2 6 4" xfId="29038"/>
    <cellStyle name="Normal 3 2 9 2 7" xfId="29039"/>
    <cellStyle name="Normal 3 2 9 2 8" xfId="29040"/>
    <cellStyle name="Normal 3 2 9 2 9" xfId="29041"/>
    <cellStyle name="Normal 3 2 9 3" xfId="2550"/>
    <cellStyle name="Normal 3 2 9 4" xfId="2551"/>
    <cellStyle name="Normal 3 2 9 5" xfId="2552"/>
    <cellStyle name="Normal 3 2 9 6" xfId="2553"/>
    <cellStyle name="Normal 3 2 9 7" xfId="29042"/>
    <cellStyle name="Normal 3 2 9 8" xfId="29043"/>
    <cellStyle name="Normal 3 2 9 9" xfId="29044"/>
    <cellStyle name="Normal 3 2_Sheet1" xfId="29045"/>
    <cellStyle name="Normal 3 20" xfId="29046"/>
    <cellStyle name="Normal 3 3" xfId="2554"/>
    <cellStyle name="Normal 3 3 2" xfId="2555"/>
    <cellStyle name="Normal 3 3 3" xfId="2556"/>
    <cellStyle name="Normal 3 3 4" xfId="2557"/>
    <cellStyle name="Normal 3 3 5" xfId="2558"/>
    <cellStyle name="Normal 3 3 6" xfId="29047"/>
    <cellStyle name="Normal 3 3 7" xfId="29048"/>
    <cellStyle name="Normal 3 3 8" xfId="29049"/>
    <cellStyle name="Normal 3 4" xfId="2559"/>
    <cellStyle name="Normal 3 4 2" xfId="2560"/>
    <cellStyle name="Normal 3 4 3" xfId="2561"/>
    <cellStyle name="Normal 3 4 4" xfId="2562"/>
    <cellStyle name="Normal 3 4 5" xfId="2563"/>
    <cellStyle name="Normal 3 4 6" xfId="29050"/>
    <cellStyle name="Normal 3 4 7" xfId="29051"/>
    <cellStyle name="Normal 3 4 8" xfId="29052"/>
    <cellStyle name="Normal 3 5" xfId="2564"/>
    <cellStyle name="Normal 3 5 2" xfId="2565"/>
    <cellStyle name="Normal 3 5 3" xfId="2566"/>
    <cellStyle name="Normal 3 5 4" xfId="2567"/>
    <cellStyle name="Normal 3 5 5" xfId="2568"/>
    <cellStyle name="Normal 3 5 6" xfId="29053"/>
    <cellStyle name="Normal 3 5 7" xfId="29054"/>
    <cellStyle name="Normal 3 5 8" xfId="29055"/>
    <cellStyle name="Normal 3 6" xfId="2569"/>
    <cellStyle name="Normal 3 6 2" xfId="2570"/>
    <cellStyle name="Normal 3 6 3" xfId="2571"/>
    <cellStyle name="Normal 3 6 4" xfId="2572"/>
    <cellStyle name="Normal 3 6 5" xfId="2573"/>
    <cellStyle name="Normal 3 6 6" xfId="29056"/>
    <cellStyle name="Normal 3 6 7" xfId="29057"/>
    <cellStyle name="Normal 3 6 8" xfId="29058"/>
    <cellStyle name="Normal 3 7" xfId="2574"/>
    <cellStyle name="Normal 3 7 2" xfId="2575"/>
    <cellStyle name="Normal 3 7 3" xfId="2576"/>
    <cellStyle name="Normal 3 7 4" xfId="2577"/>
    <cellStyle name="Normal 3 7 5" xfId="2578"/>
    <cellStyle name="Normal 3 7 6" xfId="29059"/>
    <cellStyle name="Normal 3 7 7" xfId="29060"/>
    <cellStyle name="Normal 3 7 8" xfId="29061"/>
    <cellStyle name="Normal 3 8" xfId="2579"/>
    <cellStyle name="Normal 3 8 2" xfId="2580"/>
    <cellStyle name="Normal 3 8 3" xfId="2581"/>
    <cellStyle name="Normal 3 8 4" xfId="2582"/>
    <cellStyle name="Normal 3 8 5" xfId="2583"/>
    <cellStyle name="Normal 3 8 6" xfId="29062"/>
    <cellStyle name="Normal 3 8 7" xfId="29063"/>
    <cellStyle name="Normal 3 8 8" xfId="29064"/>
    <cellStyle name="Normal 3 9" xfId="2584"/>
    <cellStyle name="Normal 3 9 2" xfId="2585"/>
    <cellStyle name="Normal 3 9 3" xfId="2586"/>
    <cellStyle name="Normal 3 9 4" xfId="2587"/>
    <cellStyle name="Normal 3 9 5" xfId="2588"/>
    <cellStyle name="Normal 3 9 6" xfId="29065"/>
    <cellStyle name="Normal 3 9 7" xfId="29066"/>
    <cellStyle name="Normal 3 9 8" xfId="29067"/>
    <cellStyle name="Normal 3_Disposal Loss2010" xfId="29068"/>
    <cellStyle name="Normal 30" xfId="29069"/>
    <cellStyle name="Normal 30 2" xfId="29070"/>
    <cellStyle name="Normal 30 2 2" xfId="29071"/>
    <cellStyle name="Normal 30 2 2 2" xfId="29072"/>
    <cellStyle name="Normal 30 2 2 2 2" xfId="29073"/>
    <cellStyle name="Normal 30 2 3" xfId="29074"/>
    <cellStyle name="Normal 30 2 4" xfId="29075"/>
    <cellStyle name="Normal 30 3" xfId="29076"/>
    <cellStyle name="Normal 30 4" xfId="40338"/>
    <cellStyle name="Normal 30 5" xfId="40339"/>
    <cellStyle name="Normal 31" xfId="29077"/>
    <cellStyle name="Normal 31 2" xfId="29078"/>
    <cellStyle name="Normal 31 3" xfId="29079"/>
    <cellStyle name="Normal 32" xfId="29080"/>
    <cellStyle name="Normal 32 2" xfId="29081"/>
    <cellStyle name="Normal 32 3" xfId="29082"/>
    <cellStyle name="Normal 32 4" xfId="40340"/>
    <cellStyle name="Normal 33" xfId="29083"/>
    <cellStyle name="Normal 33 2" xfId="29084"/>
    <cellStyle name="Normal 33 3" xfId="29085"/>
    <cellStyle name="Normal 33 4" xfId="40341"/>
    <cellStyle name="Normal 34" xfId="2589"/>
    <cellStyle name="Normal 34 2" xfId="2590"/>
    <cellStyle name="Normal 34 2 2" xfId="2591"/>
    <cellStyle name="Normal 34 2 2 2" xfId="2592"/>
    <cellStyle name="Normal 34 2 2 2 2" xfId="29086"/>
    <cellStyle name="Normal 34 2 2 2 2 2" xfId="29087"/>
    <cellStyle name="Normal 34 2 2 2 2 3" xfId="29088"/>
    <cellStyle name="Normal 34 2 2 2 2 4" xfId="29089"/>
    <cellStyle name="Normal 34 2 2 2 3" xfId="29090"/>
    <cellStyle name="Normal 34 2 2 2 4" xfId="29091"/>
    <cellStyle name="Normal 34 2 2 2 5" xfId="29092"/>
    <cellStyle name="Normal 34 2 2 3" xfId="2593"/>
    <cellStyle name="Normal 34 2 2 3 2" xfId="29093"/>
    <cellStyle name="Normal 34 2 2 3 2 2" xfId="29094"/>
    <cellStyle name="Normal 34 2 2 3 2 3" xfId="29095"/>
    <cellStyle name="Normal 34 2 2 3 2 4" xfId="29096"/>
    <cellStyle name="Normal 34 2 2 3 3" xfId="29097"/>
    <cellStyle name="Normal 34 2 2 3 4" xfId="29098"/>
    <cellStyle name="Normal 34 2 2 3 5" xfId="29099"/>
    <cellStyle name="Normal 34 2 2 4" xfId="29100"/>
    <cellStyle name="Normal 34 2 2 4 2" xfId="29101"/>
    <cellStyle name="Normal 34 2 2 4 3" xfId="29102"/>
    <cellStyle name="Normal 34 2 2 4 4" xfId="29103"/>
    <cellStyle name="Normal 34 2 2 5" xfId="29104"/>
    <cellStyle name="Normal 34 2 2 6" xfId="29105"/>
    <cellStyle name="Normal 34 2 2 7" xfId="29106"/>
    <cellStyle name="Normal 34 2 3" xfId="2594"/>
    <cellStyle name="Normal 34 2 3 2" xfId="29107"/>
    <cellStyle name="Normal 34 2 3 2 2" xfId="29108"/>
    <cellStyle name="Normal 34 2 3 2 3" xfId="29109"/>
    <cellStyle name="Normal 34 2 3 2 4" xfId="29110"/>
    <cellStyle name="Normal 34 2 3 3" xfId="29111"/>
    <cellStyle name="Normal 34 2 3 4" xfId="29112"/>
    <cellStyle name="Normal 34 2 3 5" xfId="29113"/>
    <cellStyle name="Normal 34 2 4" xfId="2595"/>
    <cellStyle name="Normal 34 2 4 2" xfId="29114"/>
    <cellStyle name="Normal 34 2 4 2 2" xfId="29115"/>
    <cellStyle name="Normal 34 2 4 2 3" xfId="29116"/>
    <cellStyle name="Normal 34 2 4 2 4" xfId="29117"/>
    <cellStyle name="Normal 34 2 4 3" xfId="29118"/>
    <cellStyle name="Normal 34 2 4 4" xfId="29119"/>
    <cellStyle name="Normal 34 2 4 5" xfId="29120"/>
    <cellStyle name="Normal 34 2 5" xfId="29121"/>
    <cellStyle name="Normal 34 2 5 2" xfId="29122"/>
    <cellStyle name="Normal 34 2 5 3" xfId="29123"/>
    <cellStyle name="Normal 34 2 5 4" xfId="29124"/>
    <cellStyle name="Normal 34 2 6" xfId="29125"/>
    <cellStyle name="Normal 34 2 7" xfId="29126"/>
    <cellStyle name="Normal 34 2 8" xfId="29127"/>
    <cellStyle name="Normal 34 3" xfId="2596"/>
    <cellStyle name="Normal 34 3 2" xfId="2597"/>
    <cellStyle name="Normal 34 3 2 2" xfId="29128"/>
    <cellStyle name="Normal 34 3 2 2 2" xfId="29129"/>
    <cellStyle name="Normal 34 3 2 2 3" xfId="29130"/>
    <cellStyle name="Normal 34 3 2 2 4" xfId="29131"/>
    <cellStyle name="Normal 34 3 2 3" xfId="29132"/>
    <cellStyle name="Normal 34 3 2 4" xfId="29133"/>
    <cellStyle name="Normal 34 3 2 5" xfId="29134"/>
    <cellStyle name="Normal 34 3 3" xfId="2598"/>
    <cellStyle name="Normal 34 3 3 2" xfId="29135"/>
    <cellStyle name="Normal 34 3 3 2 2" xfId="29136"/>
    <cellStyle name="Normal 34 3 3 2 3" xfId="29137"/>
    <cellStyle name="Normal 34 3 3 2 4" xfId="29138"/>
    <cellStyle name="Normal 34 3 3 3" xfId="29139"/>
    <cellStyle name="Normal 34 3 3 4" xfId="29140"/>
    <cellStyle name="Normal 34 3 3 5" xfId="29141"/>
    <cellStyle name="Normal 34 3 4" xfId="29142"/>
    <cellStyle name="Normal 34 3 4 2" xfId="29143"/>
    <cellStyle name="Normal 34 3 4 3" xfId="29144"/>
    <cellStyle name="Normal 34 3 4 4" xfId="29145"/>
    <cellStyle name="Normal 34 3 5" xfId="29146"/>
    <cellStyle name="Normal 34 3 6" xfId="29147"/>
    <cellStyle name="Normal 34 3 7" xfId="29148"/>
    <cellStyle name="Normal 34 4" xfId="2599"/>
    <cellStyle name="Normal 34 4 2" xfId="29149"/>
    <cellStyle name="Normal 34 4 2 2" xfId="29150"/>
    <cellStyle name="Normal 34 4 2 3" xfId="29151"/>
    <cellStyle name="Normal 34 4 2 4" xfId="29152"/>
    <cellStyle name="Normal 34 4 3" xfId="29153"/>
    <cellStyle name="Normal 34 4 4" xfId="29154"/>
    <cellStyle name="Normal 34 4 5" xfId="29155"/>
    <cellStyle name="Normal 34 5" xfId="2600"/>
    <cellStyle name="Normal 34 5 2" xfId="29156"/>
    <cellStyle name="Normal 34 5 2 2" xfId="29157"/>
    <cellStyle name="Normal 34 5 2 3" xfId="29158"/>
    <cellStyle name="Normal 34 5 2 4" xfId="29159"/>
    <cellStyle name="Normal 34 5 3" xfId="29160"/>
    <cellStyle name="Normal 34 5 4" xfId="29161"/>
    <cellStyle name="Normal 34 5 5" xfId="29162"/>
    <cellStyle name="Normal 34 6" xfId="29163"/>
    <cellStyle name="Normal 34 6 2" xfId="29164"/>
    <cellStyle name="Normal 34 6 3" xfId="29165"/>
    <cellStyle name="Normal 34 6 4" xfId="29166"/>
    <cellStyle name="Normal 34 7" xfId="29167"/>
    <cellStyle name="Normal 34 8" xfId="29168"/>
    <cellStyle name="Normal 34 9" xfId="29169"/>
    <cellStyle name="Normal 35" xfId="2601"/>
    <cellStyle name="Normal 35 10" xfId="2602"/>
    <cellStyle name="Normal 35 10 2" xfId="29170"/>
    <cellStyle name="Normal 35 10 2 2" xfId="29171"/>
    <cellStyle name="Normal 35 10 2 3" xfId="29172"/>
    <cellStyle name="Normal 35 10 2 4" xfId="29173"/>
    <cellStyle name="Normal 35 10 3" xfId="29174"/>
    <cellStyle name="Normal 35 10 4" xfId="29175"/>
    <cellStyle name="Normal 35 10 5" xfId="29176"/>
    <cellStyle name="Normal 35 11" xfId="29177"/>
    <cellStyle name="Normal 35 11 2" xfId="29178"/>
    <cellStyle name="Normal 35 11 3" xfId="29179"/>
    <cellStyle name="Normal 35 11 4" xfId="29180"/>
    <cellStyle name="Normal 35 12" xfId="29181"/>
    <cellStyle name="Normal 35 13" xfId="29182"/>
    <cellStyle name="Normal 35 14" xfId="29183"/>
    <cellStyle name="Normal 35 2" xfId="2603"/>
    <cellStyle name="Normal 35 2 2" xfId="2604"/>
    <cellStyle name="Normal 35 2 2 2" xfId="2605"/>
    <cellStyle name="Normal 35 2 2 2 2" xfId="2606"/>
    <cellStyle name="Normal 35 2 2 2 2 2" xfId="29184"/>
    <cellStyle name="Normal 35 2 2 2 2 2 2" xfId="29185"/>
    <cellStyle name="Normal 35 2 2 2 2 2 3" xfId="29186"/>
    <cellStyle name="Normal 35 2 2 2 2 2 4" xfId="29187"/>
    <cellStyle name="Normal 35 2 2 2 2 3" xfId="29188"/>
    <cellStyle name="Normal 35 2 2 2 2 4" xfId="29189"/>
    <cellStyle name="Normal 35 2 2 2 2 5" xfId="29190"/>
    <cellStyle name="Normal 35 2 2 2 3" xfId="2607"/>
    <cellStyle name="Normal 35 2 2 2 3 2" xfId="29191"/>
    <cellStyle name="Normal 35 2 2 2 3 2 2" xfId="29192"/>
    <cellStyle name="Normal 35 2 2 2 3 2 3" xfId="29193"/>
    <cellStyle name="Normal 35 2 2 2 3 2 4" xfId="29194"/>
    <cellStyle name="Normal 35 2 2 2 3 3" xfId="29195"/>
    <cellStyle name="Normal 35 2 2 2 3 4" xfId="29196"/>
    <cellStyle name="Normal 35 2 2 2 3 5" xfId="29197"/>
    <cellStyle name="Normal 35 2 2 2 4" xfId="29198"/>
    <cellStyle name="Normal 35 2 2 2 4 2" xfId="29199"/>
    <cellStyle name="Normal 35 2 2 2 4 3" xfId="29200"/>
    <cellStyle name="Normal 35 2 2 2 4 4" xfId="29201"/>
    <cellStyle name="Normal 35 2 2 2 5" xfId="29202"/>
    <cellStyle name="Normal 35 2 2 2 6" xfId="29203"/>
    <cellStyle name="Normal 35 2 2 2 7" xfId="29204"/>
    <cellStyle name="Normal 35 2 2 3" xfId="2608"/>
    <cellStyle name="Normal 35 2 2 3 2" xfId="29205"/>
    <cellStyle name="Normal 35 2 2 3 2 2" xfId="29206"/>
    <cellStyle name="Normal 35 2 2 3 2 3" xfId="29207"/>
    <cellStyle name="Normal 35 2 2 3 2 4" xfId="29208"/>
    <cellStyle name="Normal 35 2 2 3 3" xfId="29209"/>
    <cellStyle name="Normal 35 2 2 3 4" xfId="29210"/>
    <cellStyle name="Normal 35 2 2 3 5" xfId="29211"/>
    <cellStyle name="Normal 35 2 2 4" xfId="2609"/>
    <cellStyle name="Normal 35 2 2 4 2" xfId="29212"/>
    <cellStyle name="Normal 35 2 2 4 2 2" xfId="29213"/>
    <cellStyle name="Normal 35 2 2 4 2 3" xfId="29214"/>
    <cellStyle name="Normal 35 2 2 4 2 4" xfId="29215"/>
    <cellStyle name="Normal 35 2 2 4 3" xfId="29216"/>
    <cellStyle name="Normal 35 2 2 4 4" xfId="29217"/>
    <cellStyle name="Normal 35 2 2 4 5" xfId="29218"/>
    <cellStyle name="Normal 35 2 2 5" xfId="29219"/>
    <cellStyle name="Normal 35 2 2 5 2" xfId="29220"/>
    <cellStyle name="Normal 35 2 2 5 3" xfId="29221"/>
    <cellStyle name="Normal 35 2 2 5 4" xfId="29222"/>
    <cellStyle name="Normal 35 2 2 6" xfId="29223"/>
    <cellStyle name="Normal 35 2 2 7" xfId="29224"/>
    <cellStyle name="Normal 35 2 2 8" xfId="29225"/>
    <cellStyle name="Normal 35 2 3" xfId="2610"/>
    <cellStyle name="Normal 35 2 3 2" xfId="2611"/>
    <cellStyle name="Normal 35 2 3 2 2" xfId="29226"/>
    <cellStyle name="Normal 35 2 3 2 2 2" xfId="29227"/>
    <cellStyle name="Normal 35 2 3 2 2 3" xfId="29228"/>
    <cellStyle name="Normal 35 2 3 2 2 4" xfId="29229"/>
    <cellStyle name="Normal 35 2 3 2 3" xfId="29230"/>
    <cellStyle name="Normal 35 2 3 2 4" xfId="29231"/>
    <cellStyle name="Normal 35 2 3 2 5" xfId="29232"/>
    <cellStyle name="Normal 35 2 3 3" xfId="2612"/>
    <cellStyle name="Normal 35 2 3 3 2" xfId="29233"/>
    <cellStyle name="Normal 35 2 3 3 2 2" xfId="29234"/>
    <cellStyle name="Normal 35 2 3 3 2 3" xfId="29235"/>
    <cellStyle name="Normal 35 2 3 3 2 4" xfId="29236"/>
    <cellStyle name="Normal 35 2 3 3 3" xfId="29237"/>
    <cellStyle name="Normal 35 2 3 3 4" xfId="29238"/>
    <cellStyle name="Normal 35 2 3 3 5" xfId="29239"/>
    <cellStyle name="Normal 35 2 3 4" xfId="29240"/>
    <cellStyle name="Normal 35 2 3 4 2" xfId="29241"/>
    <cellStyle name="Normal 35 2 3 4 3" xfId="29242"/>
    <cellStyle name="Normal 35 2 3 4 4" xfId="29243"/>
    <cellStyle name="Normal 35 2 3 5" xfId="29244"/>
    <cellStyle name="Normal 35 2 3 6" xfId="29245"/>
    <cellStyle name="Normal 35 2 3 7" xfId="29246"/>
    <cellStyle name="Normal 35 2 4" xfId="2613"/>
    <cellStyle name="Normal 35 2 4 2" xfId="29247"/>
    <cellStyle name="Normal 35 2 4 2 2" xfId="29248"/>
    <cellStyle name="Normal 35 2 4 2 3" xfId="29249"/>
    <cellStyle name="Normal 35 2 4 2 4" xfId="29250"/>
    <cellStyle name="Normal 35 2 4 3" xfId="29251"/>
    <cellStyle name="Normal 35 2 4 4" xfId="29252"/>
    <cellStyle name="Normal 35 2 4 5" xfId="29253"/>
    <cellStyle name="Normal 35 2 5" xfId="2614"/>
    <cellStyle name="Normal 35 2 5 2" xfId="29254"/>
    <cellStyle name="Normal 35 2 5 2 2" xfId="29255"/>
    <cellStyle name="Normal 35 2 5 2 3" xfId="29256"/>
    <cellStyle name="Normal 35 2 5 2 4" xfId="29257"/>
    <cellStyle name="Normal 35 2 5 3" xfId="29258"/>
    <cellStyle name="Normal 35 2 5 4" xfId="29259"/>
    <cellStyle name="Normal 35 2 5 5" xfId="29260"/>
    <cellStyle name="Normal 35 2 6" xfId="29261"/>
    <cellStyle name="Normal 35 2 6 2" xfId="29262"/>
    <cellStyle name="Normal 35 2 6 3" xfId="29263"/>
    <cellStyle name="Normal 35 2 6 4" xfId="29264"/>
    <cellStyle name="Normal 35 2 7" xfId="29265"/>
    <cellStyle name="Normal 35 2 8" xfId="29266"/>
    <cellStyle name="Normal 35 2 9" xfId="29267"/>
    <cellStyle name="Normal 35 3" xfId="2615"/>
    <cellStyle name="Normal 35 3 2" xfId="2616"/>
    <cellStyle name="Normal 35 3 2 2" xfId="2617"/>
    <cellStyle name="Normal 35 3 2 2 2" xfId="2618"/>
    <cellStyle name="Normal 35 3 2 2 2 2" xfId="29268"/>
    <cellStyle name="Normal 35 3 2 2 2 2 2" xfId="29269"/>
    <cellStyle name="Normal 35 3 2 2 2 2 3" xfId="29270"/>
    <cellStyle name="Normal 35 3 2 2 2 2 4" xfId="29271"/>
    <cellStyle name="Normal 35 3 2 2 2 3" xfId="29272"/>
    <cellStyle name="Normal 35 3 2 2 2 4" xfId="29273"/>
    <cellStyle name="Normal 35 3 2 2 2 5" xfId="29274"/>
    <cellStyle name="Normal 35 3 2 2 3" xfId="2619"/>
    <cellStyle name="Normal 35 3 2 2 3 2" xfId="29275"/>
    <cellStyle name="Normal 35 3 2 2 3 2 2" xfId="29276"/>
    <cellStyle name="Normal 35 3 2 2 3 2 3" xfId="29277"/>
    <cellStyle name="Normal 35 3 2 2 3 2 4" xfId="29278"/>
    <cellStyle name="Normal 35 3 2 2 3 3" xfId="29279"/>
    <cellStyle name="Normal 35 3 2 2 3 4" xfId="29280"/>
    <cellStyle name="Normal 35 3 2 2 3 5" xfId="29281"/>
    <cellStyle name="Normal 35 3 2 2 4" xfId="29282"/>
    <cellStyle name="Normal 35 3 2 2 4 2" xfId="29283"/>
    <cellStyle name="Normal 35 3 2 2 4 3" xfId="29284"/>
    <cellStyle name="Normal 35 3 2 2 4 4" xfId="29285"/>
    <cellStyle name="Normal 35 3 2 2 5" xfId="29286"/>
    <cellStyle name="Normal 35 3 2 2 6" xfId="29287"/>
    <cellStyle name="Normal 35 3 2 2 7" xfId="29288"/>
    <cellStyle name="Normal 35 3 2 3" xfId="2620"/>
    <cellStyle name="Normal 35 3 2 3 2" xfId="29289"/>
    <cellStyle name="Normal 35 3 2 3 2 2" xfId="29290"/>
    <cellStyle name="Normal 35 3 2 3 2 3" xfId="29291"/>
    <cellStyle name="Normal 35 3 2 3 2 4" xfId="29292"/>
    <cellStyle name="Normal 35 3 2 3 3" xfId="29293"/>
    <cellStyle name="Normal 35 3 2 3 4" xfId="29294"/>
    <cellStyle name="Normal 35 3 2 3 5" xfId="29295"/>
    <cellStyle name="Normal 35 3 2 4" xfId="2621"/>
    <cellStyle name="Normal 35 3 2 4 2" xfId="29296"/>
    <cellStyle name="Normal 35 3 2 4 2 2" xfId="29297"/>
    <cellStyle name="Normal 35 3 2 4 2 3" xfId="29298"/>
    <cellStyle name="Normal 35 3 2 4 2 4" xfId="29299"/>
    <cellStyle name="Normal 35 3 2 4 3" xfId="29300"/>
    <cellStyle name="Normal 35 3 2 4 4" xfId="29301"/>
    <cellStyle name="Normal 35 3 2 4 5" xfId="29302"/>
    <cellStyle name="Normal 35 3 2 5" xfId="29303"/>
    <cellStyle name="Normal 35 3 2 5 2" xfId="29304"/>
    <cellStyle name="Normal 35 3 2 5 3" xfId="29305"/>
    <cellStyle name="Normal 35 3 2 5 4" xfId="29306"/>
    <cellStyle name="Normal 35 3 2 6" xfId="29307"/>
    <cellStyle name="Normal 35 3 2 7" xfId="29308"/>
    <cellStyle name="Normal 35 3 2 8" xfId="29309"/>
    <cellStyle name="Normal 35 3 3" xfId="2622"/>
    <cellStyle name="Normal 35 3 3 2" xfId="2623"/>
    <cellStyle name="Normal 35 3 3 2 2" xfId="29310"/>
    <cellStyle name="Normal 35 3 3 2 2 2" xfId="29311"/>
    <cellStyle name="Normal 35 3 3 2 2 3" xfId="29312"/>
    <cellStyle name="Normal 35 3 3 2 2 4" xfId="29313"/>
    <cellStyle name="Normal 35 3 3 2 3" xfId="29314"/>
    <cellStyle name="Normal 35 3 3 2 4" xfId="29315"/>
    <cellStyle name="Normal 35 3 3 2 5" xfId="29316"/>
    <cellStyle name="Normal 35 3 3 3" xfId="2624"/>
    <cellStyle name="Normal 35 3 3 3 2" xfId="29317"/>
    <cellStyle name="Normal 35 3 3 3 2 2" xfId="29318"/>
    <cellStyle name="Normal 35 3 3 3 2 3" xfId="29319"/>
    <cellStyle name="Normal 35 3 3 3 2 4" xfId="29320"/>
    <cellStyle name="Normal 35 3 3 3 3" xfId="29321"/>
    <cellStyle name="Normal 35 3 3 3 4" xfId="29322"/>
    <cellStyle name="Normal 35 3 3 3 5" xfId="29323"/>
    <cellStyle name="Normal 35 3 3 4" xfId="29324"/>
    <cellStyle name="Normal 35 3 3 4 2" xfId="29325"/>
    <cellStyle name="Normal 35 3 3 4 3" xfId="29326"/>
    <cellStyle name="Normal 35 3 3 4 4" xfId="29327"/>
    <cellStyle name="Normal 35 3 3 5" xfId="29328"/>
    <cellStyle name="Normal 35 3 3 6" xfId="29329"/>
    <cellStyle name="Normal 35 3 3 7" xfId="29330"/>
    <cellStyle name="Normal 35 3 4" xfId="2625"/>
    <cellStyle name="Normal 35 3 4 2" xfId="29331"/>
    <cellStyle name="Normal 35 3 4 2 2" xfId="29332"/>
    <cellStyle name="Normal 35 3 4 2 3" xfId="29333"/>
    <cellStyle name="Normal 35 3 4 2 4" xfId="29334"/>
    <cellStyle name="Normal 35 3 4 3" xfId="29335"/>
    <cellStyle name="Normal 35 3 4 4" xfId="29336"/>
    <cellStyle name="Normal 35 3 4 5" xfId="29337"/>
    <cellStyle name="Normal 35 3 5" xfId="2626"/>
    <cellStyle name="Normal 35 3 5 2" xfId="29338"/>
    <cellStyle name="Normal 35 3 5 2 2" xfId="29339"/>
    <cellStyle name="Normal 35 3 5 2 3" xfId="29340"/>
    <cellStyle name="Normal 35 3 5 2 4" xfId="29341"/>
    <cellStyle name="Normal 35 3 5 3" xfId="29342"/>
    <cellStyle name="Normal 35 3 5 4" xfId="29343"/>
    <cellStyle name="Normal 35 3 5 5" xfId="29344"/>
    <cellStyle name="Normal 35 3 6" xfId="29345"/>
    <cellStyle name="Normal 35 3 6 2" xfId="29346"/>
    <cellStyle name="Normal 35 3 6 3" xfId="29347"/>
    <cellStyle name="Normal 35 3 6 4" xfId="29348"/>
    <cellStyle name="Normal 35 3 7" xfId="29349"/>
    <cellStyle name="Normal 35 3 8" xfId="29350"/>
    <cellStyle name="Normal 35 3 9" xfId="29351"/>
    <cellStyle name="Normal 35 4" xfId="2627"/>
    <cellStyle name="Normal 35 4 2" xfId="2628"/>
    <cellStyle name="Normal 35 4 2 2" xfId="2629"/>
    <cellStyle name="Normal 35 4 2 2 2" xfId="2630"/>
    <cellStyle name="Normal 35 4 2 2 2 2" xfId="29352"/>
    <cellStyle name="Normal 35 4 2 2 2 2 2" xfId="29353"/>
    <cellStyle name="Normal 35 4 2 2 2 2 3" xfId="29354"/>
    <cellStyle name="Normal 35 4 2 2 2 2 4" xfId="29355"/>
    <cellStyle name="Normal 35 4 2 2 2 3" xfId="29356"/>
    <cellStyle name="Normal 35 4 2 2 2 4" xfId="29357"/>
    <cellStyle name="Normal 35 4 2 2 2 5" xfId="29358"/>
    <cellStyle name="Normal 35 4 2 2 3" xfId="2631"/>
    <cellStyle name="Normal 35 4 2 2 3 2" xfId="29359"/>
    <cellStyle name="Normal 35 4 2 2 3 2 2" xfId="29360"/>
    <cellStyle name="Normal 35 4 2 2 3 2 3" xfId="29361"/>
    <cellStyle name="Normal 35 4 2 2 3 2 4" xfId="29362"/>
    <cellStyle name="Normal 35 4 2 2 3 3" xfId="29363"/>
    <cellStyle name="Normal 35 4 2 2 3 4" xfId="29364"/>
    <cellStyle name="Normal 35 4 2 2 3 5" xfId="29365"/>
    <cellStyle name="Normal 35 4 2 2 4" xfId="29366"/>
    <cellStyle name="Normal 35 4 2 2 4 2" xfId="29367"/>
    <cellStyle name="Normal 35 4 2 2 4 3" xfId="29368"/>
    <cellStyle name="Normal 35 4 2 2 4 4" xfId="29369"/>
    <cellStyle name="Normal 35 4 2 2 5" xfId="29370"/>
    <cellStyle name="Normal 35 4 2 2 6" xfId="29371"/>
    <cellStyle name="Normal 35 4 2 2 7" xfId="29372"/>
    <cellStyle name="Normal 35 4 2 3" xfId="2632"/>
    <cellStyle name="Normal 35 4 2 3 2" xfId="29373"/>
    <cellStyle name="Normal 35 4 2 3 2 2" xfId="29374"/>
    <cellStyle name="Normal 35 4 2 3 2 3" xfId="29375"/>
    <cellStyle name="Normal 35 4 2 3 2 4" xfId="29376"/>
    <cellStyle name="Normal 35 4 2 3 3" xfId="29377"/>
    <cellStyle name="Normal 35 4 2 3 4" xfId="29378"/>
    <cellStyle name="Normal 35 4 2 3 5" xfId="29379"/>
    <cellStyle name="Normal 35 4 2 4" xfId="2633"/>
    <cellStyle name="Normal 35 4 2 4 2" xfId="29380"/>
    <cellStyle name="Normal 35 4 2 4 2 2" xfId="29381"/>
    <cellStyle name="Normal 35 4 2 4 2 3" xfId="29382"/>
    <cellStyle name="Normal 35 4 2 4 2 4" xfId="29383"/>
    <cellStyle name="Normal 35 4 2 4 3" xfId="29384"/>
    <cellStyle name="Normal 35 4 2 4 4" xfId="29385"/>
    <cellStyle name="Normal 35 4 2 4 5" xfId="29386"/>
    <cellStyle name="Normal 35 4 2 5" xfId="29387"/>
    <cellStyle name="Normal 35 4 2 5 2" xfId="29388"/>
    <cellStyle name="Normal 35 4 2 5 3" xfId="29389"/>
    <cellStyle name="Normal 35 4 2 5 4" xfId="29390"/>
    <cellStyle name="Normal 35 4 2 6" xfId="29391"/>
    <cellStyle name="Normal 35 4 2 7" xfId="29392"/>
    <cellStyle name="Normal 35 4 2 8" xfId="29393"/>
    <cellStyle name="Normal 35 4 3" xfId="2634"/>
    <cellStyle name="Normal 35 4 3 2" xfId="2635"/>
    <cellStyle name="Normal 35 4 3 2 2" xfId="29394"/>
    <cellStyle name="Normal 35 4 3 2 2 2" xfId="29395"/>
    <cellStyle name="Normal 35 4 3 2 2 3" xfId="29396"/>
    <cellStyle name="Normal 35 4 3 2 2 4" xfId="29397"/>
    <cellStyle name="Normal 35 4 3 2 3" xfId="29398"/>
    <cellStyle name="Normal 35 4 3 2 4" xfId="29399"/>
    <cellStyle name="Normal 35 4 3 2 5" xfId="29400"/>
    <cellStyle name="Normal 35 4 3 3" xfId="2636"/>
    <cellStyle name="Normal 35 4 3 3 2" xfId="29401"/>
    <cellStyle name="Normal 35 4 3 3 2 2" xfId="29402"/>
    <cellStyle name="Normal 35 4 3 3 2 3" xfId="29403"/>
    <cellStyle name="Normal 35 4 3 3 2 4" xfId="29404"/>
    <cellStyle name="Normal 35 4 3 3 3" xfId="29405"/>
    <cellStyle name="Normal 35 4 3 3 4" xfId="29406"/>
    <cellStyle name="Normal 35 4 3 3 5" xfId="29407"/>
    <cellStyle name="Normal 35 4 3 4" xfId="29408"/>
    <cellStyle name="Normal 35 4 3 4 2" xfId="29409"/>
    <cellStyle name="Normal 35 4 3 4 3" xfId="29410"/>
    <cellStyle name="Normal 35 4 3 4 4" xfId="29411"/>
    <cellStyle name="Normal 35 4 3 5" xfId="29412"/>
    <cellStyle name="Normal 35 4 3 6" xfId="29413"/>
    <cellStyle name="Normal 35 4 3 7" xfId="29414"/>
    <cellStyle name="Normal 35 4 4" xfId="2637"/>
    <cellStyle name="Normal 35 4 4 2" xfId="29415"/>
    <cellStyle name="Normal 35 4 4 2 2" xfId="29416"/>
    <cellStyle name="Normal 35 4 4 2 3" xfId="29417"/>
    <cellStyle name="Normal 35 4 4 2 4" xfId="29418"/>
    <cellStyle name="Normal 35 4 4 3" xfId="29419"/>
    <cellStyle name="Normal 35 4 4 4" xfId="29420"/>
    <cellStyle name="Normal 35 4 4 5" xfId="29421"/>
    <cellStyle name="Normal 35 4 5" xfId="2638"/>
    <cellStyle name="Normal 35 4 5 2" xfId="29422"/>
    <cellStyle name="Normal 35 4 5 2 2" xfId="29423"/>
    <cellStyle name="Normal 35 4 5 2 3" xfId="29424"/>
    <cellStyle name="Normal 35 4 5 2 4" xfId="29425"/>
    <cellStyle name="Normal 35 4 5 3" xfId="29426"/>
    <cellStyle name="Normal 35 4 5 4" xfId="29427"/>
    <cellStyle name="Normal 35 4 5 5" xfId="29428"/>
    <cellStyle name="Normal 35 4 6" xfId="29429"/>
    <cellStyle name="Normal 35 4 6 2" xfId="29430"/>
    <cellStyle name="Normal 35 4 6 3" xfId="29431"/>
    <cellStyle name="Normal 35 4 6 4" xfId="29432"/>
    <cellStyle name="Normal 35 4 7" xfId="29433"/>
    <cellStyle name="Normal 35 4 8" xfId="29434"/>
    <cellStyle name="Normal 35 4 9" xfId="29435"/>
    <cellStyle name="Normal 35 5" xfId="2639"/>
    <cellStyle name="Normal 35 5 2" xfId="2640"/>
    <cellStyle name="Normal 35 5 2 2" xfId="2641"/>
    <cellStyle name="Normal 35 5 2 2 2" xfId="2642"/>
    <cellStyle name="Normal 35 5 2 2 2 2" xfId="29436"/>
    <cellStyle name="Normal 35 5 2 2 2 2 2" xfId="29437"/>
    <cellStyle name="Normal 35 5 2 2 2 2 3" xfId="29438"/>
    <cellStyle name="Normal 35 5 2 2 2 2 4" xfId="29439"/>
    <cellStyle name="Normal 35 5 2 2 2 3" xfId="29440"/>
    <cellStyle name="Normal 35 5 2 2 2 4" xfId="29441"/>
    <cellStyle name="Normal 35 5 2 2 2 5" xfId="29442"/>
    <cellStyle name="Normal 35 5 2 2 3" xfId="2643"/>
    <cellStyle name="Normal 35 5 2 2 3 2" xfId="29443"/>
    <cellStyle name="Normal 35 5 2 2 3 2 2" xfId="29444"/>
    <cellStyle name="Normal 35 5 2 2 3 2 3" xfId="29445"/>
    <cellStyle name="Normal 35 5 2 2 3 2 4" xfId="29446"/>
    <cellStyle name="Normal 35 5 2 2 3 3" xfId="29447"/>
    <cellStyle name="Normal 35 5 2 2 3 4" xfId="29448"/>
    <cellStyle name="Normal 35 5 2 2 3 5" xfId="29449"/>
    <cellStyle name="Normal 35 5 2 2 4" xfId="29450"/>
    <cellStyle name="Normal 35 5 2 2 4 2" xfId="29451"/>
    <cellStyle name="Normal 35 5 2 2 4 3" xfId="29452"/>
    <cellStyle name="Normal 35 5 2 2 4 4" xfId="29453"/>
    <cellStyle name="Normal 35 5 2 2 5" xfId="29454"/>
    <cellStyle name="Normal 35 5 2 2 6" xfId="29455"/>
    <cellStyle name="Normal 35 5 2 2 7" xfId="29456"/>
    <cellStyle name="Normal 35 5 2 3" xfId="2644"/>
    <cellStyle name="Normal 35 5 2 3 2" xfId="29457"/>
    <cellStyle name="Normal 35 5 2 3 2 2" xfId="29458"/>
    <cellStyle name="Normal 35 5 2 3 2 3" xfId="29459"/>
    <cellStyle name="Normal 35 5 2 3 2 4" xfId="29460"/>
    <cellStyle name="Normal 35 5 2 3 3" xfId="29461"/>
    <cellStyle name="Normal 35 5 2 3 4" xfId="29462"/>
    <cellStyle name="Normal 35 5 2 3 5" xfId="29463"/>
    <cellStyle name="Normal 35 5 2 4" xfId="2645"/>
    <cellStyle name="Normal 35 5 2 4 2" xfId="29464"/>
    <cellStyle name="Normal 35 5 2 4 2 2" xfId="29465"/>
    <cellStyle name="Normal 35 5 2 4 2 3" xfId="29466"/>
    <cellStyle name="Normal 35 5 2 4 2 4" xfId="29467"/>
    <cellStyle name="Normal 35 5 2 4 3" xfId="29468"/>
    <cellStyle name="Normal 35 5 2 4 4" xfId="29469"/>
    <cellStyle name="Normal 35 5 2 4 5" xfId="29470"/>
    <cellStyle name="Normal 35 5 2 5" xfId="29471"/>
    <cellStyle name="Normal 35 5 2 5 2" xfId="29472"/>
    <cellStyle name="Normal 35 5 2 5 3" xfId="29473"/>
    <cellStyle name="Normal 35 5 2 5 4" xfId="29474"/>
    <cellStyle name="Normal 35 5 2 6" xfId="29475"/>
    <cellStyle name="Normal 35 5 2 7" xfId="29476"/>
    <cellStyle name="Normal 35 5 2 8" xfId="29477"/>
    <cellStyle name="Normal 35 5 3" xfId="2646"/>
    <cellStyle name="Normal 35 5 3 2" xfId="2647"/>
    <cellStyle name="Normal 35 5 3 2 2" xfId="29478"/>
    <cellStyle name="Normal 35 5 3 2 2 2" xfId="29479"/>
    <cellStyle name="Normal 35 5 3 2 2 3" xfId="29480"/>
    <cellStyle name="Normal 35 5 3 2 2 4" xfId="29481"/>
    <cellStyle name="Normal 35 5 3 2 3" xfId="29482"/>
    <cellStyle name="Normal 35 5 3 2 4" xfId="29483"/>
    <cellStyle name="Normal 35 5 3 2 5" xfId="29484"/>
    <cellStyle name="Normal 35 5 3 3" xfId="2648"/>
    <cellStyle name="Normal 35 5 3 3 2" xfId="29485"/>
    <cellStyle name="Normal 35 5 3 3 2 2" xfId="29486"/>
    <cellStyle name="Normal 35 5 3 3 2 3" xfId="29487"/>
    <cellStyle name="Normal 35 5 3 3 2 4" xfId="29488"/>
    <cellStyle name="Normal 35 5 3 3 3" xfId="29489"/>
    <cellStyle name="Normal 35 5 3 3 4" xfId="29490"/>
    <cellStyle name="Normal 35 5 3 3 5" xfId="29491"/>
    <cellStyle name="Normal 35 5 3 4" xfId="29492"/>
    <cellStyle name="Normal 35 5 3 4 2" xfId="29493"/>
    <cellStyle name="Normal 35 5 3 4 3" xfId="29494"/>
    <cellStyle name="Normal 35 5 3 4 4" xfId="29495"/>
    <cellStyle name="Normal 35 5 3 5" xfId="29496"/>
    <cellStyle name="Normal 35 5 3 6" xfId="29497"/>
    <cellStyle name="Normal 35 5 3 7" xfId="29498"/>
    <cellStyle name="Normal 35 5 4" xfId="2649"/>
    <cellStyle name="Normal 35 5 4 2" xfId="29499"/>
    <cellStyle name="Normal 35 5 4 2 2" xfId="29500"/>
    <cellStyle name="Normal 35 5 4 2 3" xfId="29501"/>
    <cellStyle name="Normal 35 5 4 2 4" xfId="29502"/>
    <cellStyle name="Normal 35 5 4 3" xfId="29503"/>
    <cellStyle name="Normal 35 5 4 4" xfId="29504"/>
    <cellStyle name="Normal 35 5 4 5" xfId="29505"/>
    <cellStyle name="Normal 35 5 5" xfId="2650"/>
    <cellStyle name="Normal 35 5 5 2" xfId="29506"/>
    <cellStyle name="Normal 35 5 5 2 2" xfId="29507"/>
    <cellStyle name="Normal 35 5 5 2 3" xfId="29508"/>
    <cellStyle name="Normal 35 5 5 2 4" xfId="29509"/>
    <cellStyle name="Normal 35 5 5 3" xfId="29510"/>
    <cellStyle name="Normal 35 5 5 4" xfId="29511"/>
    <cellStyle name="Normal 35 5 5 5" xfId="29512"/>
    <cellStyle name="Normal 35 5 6" xfId="29513"/>
    <cellStyle name="Normal 35 5 6 2" xfId="29514"/>
    <cellStyle name="Normal 35 5 6 3" xfId="29515"/>
    <cellStyle name="Normal 35 5 6 4" xfId="29516"/>
    <cellStyle name="Normal 35 5 7" xfId="29517"/>
    <cellStyle name="Normal 35 5 8" xfId="29518"/>
    <cellStyle name="Normal 35 5 9" xfId="29519"/>
    <cellStyle name="Normal 35 6" xfId="2651"/>
    <cellStyle name="Normal 35 6 2" xfId="2652"/>
    <cellStyle name="Normal 35 6 2 2" xfId="2653"/>
    <cellStyle name="Normal 35 6 2 2 2" xfId="2654"/>
    <cellStyle name="Normal 35 6 2 2 2 2" xfId="29520"/>
    <cellStyle name="Normal 35 6 2 2 2 2 2" xfId="29521"/>
    <cellStyle name="Normal 35 6 2 2 2 2 3" xfId="29522"/>
    <cellStyle name="Normal 35 6 2 2 2 2 4" xfId="29523"/>
    <cellStyle name="Normal 35 6 2 2 2 3" xfId="29524"/>
    <cellStyle name="Normal 35 6 2 2 2 4" xfId="29525"/>
    <cellStyle name="Normal 35 6 2 2 2 5" xfId="29526"/>
    <cellStyle name="Normal 35 6 2 2 3" xfId="2655"/>
    <cellStyle name="Normal 35 6 2 2 3 2" xfId="29527"/>
    <cellStyle name="Normal 35 6 2 2 3 2 2" xfId="29528"/>
    <cellStyle name="Normal 35 6 2 2 3 2 3" xfId="29529"/>
    <cellStyle name="Normal 35 6 2 2 3 2 4" xfId="29530"/>
    <cellStyle name="Normal 35 6 2 2 3 3" xfId="29531"/>
    <cellStyle name="Normal 35 6 2 2 3 4" xfId="29532"/>
    <cellStyle name="Normal 35 6 2 2 3 5" xfId="29533"/>
    <cellStyle name="Normal 35 6 2 2 4" xfId="29534"/>
    <cellStyle name="Normal 35 6 2 2 4 2" xfId="29535"/>
    <cellStyle name="Normal 35 6 2 2 4 3" xfId="29536"/>
    <cellStyle name="Normal 35 6 2 2 4 4" xfId="29537"/>
    <cellStyle name="Normal 35 6 2 2 5" xfId="29538"/>
    <cellStyle name="Normal 35 6 2 2 6" xfId="29539"/>
    <cellStyle name="Normal 35 6 2 2 7" xfId="29540"/>
    <cellStyle name="Normal 35 6 2 3" xfId="2656"/>
    <cellStyle name="Normal 35 6 2 3 2" xfId="29541"/>
    <cellStyle name="Normal 35 6 2 3 2 2" xfId="29542"/>
    <cellStyle name="Normal 35 6 2 3 2 3" xfId="29543"/>
    <cellStyle name="Normal 35 6 2 3 2 4" xfId="29544"/>
    <cellStyle name="Normal 35 6 2 3 3" xfId="29545"/>
    <cellStyle name="Normal 35 6 2 3 4" xfId="29546"/>
    <cellStyle name="Normal 35 6 2 3 5" xfId="29547"/>
    <cellStyle name="Normal 35 6 2 4" xfId="2657"/>
    <cellStyle name="Normal 35 6 2 4 2" xfId="29548"/>
    <cellStyle name="Normal 35 6 2 4 2 2" xfId="29549"/>
    <cellStyle name="Normal 35 6 2 4 2 3" xfId="29550"/>
    <cellStyle name="Normal 35 6 2 4 2 4" xfId="29551"/>
    <cellStyle name="Normal 35 6 2 4 3" xfId="29552"/>
    <cellStyle name="Normal 35 6 2 4 4" xfId="29553"/>
    <cellStyle name="Normal 35 6 2 4 5" xfId="29554"/>
    <cellStyle name="Normal 35 6 2 5" xfId="29555"/>
    <cellStyle name="Normal 35 6 2 5 2" xfId="29556"/>
    <cellStyle name="Normal 35 6 2 5 3" xfId="29557"/>
    <cellStyle name="Normal 35 6 2 5 4" xfId="29558"/>
    <cellStyle name="Normal 35 6 2 6" xfId="29559"/>
    <cellStyle name="Normal 35 6 2 7" xfId="29560"/>
    <cellStyle name="Normal 35 6 2 8" xfId="29561"/>
    <cellStyle name="Normal 35 6 3" xfId="2658"/>
    <cellStyle name="Normal 35 6 3 2" xfId="2659"/>
    <cellStyle name="Normal 35 6 3 2 2" xfId="29562"/>
    <cellStyle name="Normal 35 6 3 2 2 2" xfId="29563"/>
    <cellStyle name="Normal 35 6 3 2 2 3" xfId="29564"/>
    <cellStyle name="Normal 35 6 3 2 2 4" xfId="29565"/>
    <cellStyle name="Normal 35 6 3 2 3" xfId="29566"/>
    <cellStyle name="Normal 35 6 3 2 4" xfId="29567"/>
    <cellStyle name="Normal 35 6 3 2 5" xfId="29568"/>
    <cellStyle name="Normal 35 6 3 3" xfId="2660"/>
    <cellStyle name="Normal 35 6 3 3 2" xfId="29569"/>
    <cellStyle name="Normal 35 6 3 3 2 2" xfId="29570"/>
    <cellStyle name="Normal 35 6 3 3 2 3" xfId="29571"/>
    <cellStyle name="Normal 35 6 3 3 2 4" xfId="29572"/>
    <cellStyle name="Normal 35 6 3 3 3" xfId="29573"/>
    <cellStyle name="Normal 35 6 3 3 4" xfId="29574"/>
    <cellStyle name="Normal 35 6 3 3 5" xfId="29575"/>
    <cellStyle name="Normal 35 6 3 4" xfId="29576"/>
    <cellStyle name="Normal 35 6 3 4 2" xfId="29577"/>
    <cellStyle name="Normal 35 6 3 4 3" xfId="29578"/>
    <cellStyle name="Normal 35 6 3 4 4" xfId="29579"/>
    <cellStyle name="Normal 35 6 3 5" xfId="29580"/>
    <cellStyle name="Normal 35 6 3 6" xfId="29581"/>
    <cellStyle name="Normal 35 6 3 7" xfId="29582"/>
    <cellStyle name="Normal 35 6 4" xfId="2661"/>
    <cellStyle name="Normal 35 6 4 2" xfId="29583"/>
    <cellStyle name="Normal 35 6 4 2 2" xfId="29584"/>
    <cellStyle name="Normal 35 6 4 2 3" xfId="29585"/>
    <cellStyle name="Normal 35 6 4 2 4" xfId="29586"/>
    <cellStyle name="Normal 35 6 4 3" xfId="29587"/>
    <cellStyle name="Normal 35 6 4 4" xfId="29588"/>
    <cellStyle name="Normal 35 6 4 5" xfId="29589"/>
    <cellStyle name="Normal 35 6 5" xfId="2662"/>
    <cellStyle name="Normal 35 6 5 2" xfId="29590"/>
    <cellStyle name="Normal 35 6 5 2 2" xfId="29591"/>
    <cellStyle name="Normal 35 6 5 2 3" xfId="29592"/>
    <cellStyle name="Normal 35 6 5 2 4" xfId="29593"/>
    <cellStyle name="Normal 35 6 5 3" xfId="29594"/>
    <cellStyle name="Normal 35 6 5 4" xfId="29595"/>
    <cellStyle name="Normal 35 6 5 5" xfId="29596"/>
    <cellStyle name="Normal 35 6 6" xfId="29597"/>
    <cellStyle name="Normal 35 6 6 2" xfId="29598"/>
    <cellStyle name="Normal 35 6 6 3" xfId="29599"/>
    <cellStyle name="Normal 35 6 6 4" xfId="29600"/>
    <cellStyle name="Normal 35 6 7" xfId="29601"/>
    <cellStyle name="Normal 35 6 8" xfId="29602"/>
    <cellStyle name="Normal 35 6 9" xfId="29603"/>
    <cellStyle name="Normal 35 7" xfId="2663"/>
    <cellStyle name="Normal 35 7 2" xfId="2664"/>
    <cellStyle name="Normal 35 7 2 2" xfId="2665"/>
    <cellStyle name="Normal 35 7 2 2 2" xfId="29604"/>
    <cellStyle name="Normal 35 7 2 2 2 2" xfId="29605"/>
    <cellStyle name="Normal 35 7 2 2 2 3" xfId="29606"/>
    <cellStyle name="Normal 35 7 2 2 2 4" xfId="29607"/>
    <cellStyle name="Normal 35 7 2 2 3" xfId="29608"/>
    <cellStyle name="Normal 35 7 2 2 4" xfId="29609"/>
    <cellStyle name="Normal 35 7 2 2 5" xfId="29610"/>
    <cellStyle name="Normal 35 7 2 3" xfId="2666"/>
    <cellStyle name="Normal 35 7 2 3 2" xfId="29611"/>
    <cellStyle name="Normal 35 7 2 3 2 2" xfId="29612"/>
    <cellStyle name="Normal 35 7 2 3 2 3" xfId="29613"/>
    <cellStyle name="Normal 35 7 2 3 2 4" xfId="29614"/>
    <cellStyle name="Normal 35 7 2 3 3" xfId="29615"/>
    <cellStyle name="Normal 35 7 2 3 4" xfId="29616"/>
    <cellStyle name="Normal 35 7 2 3 5" xfId="29617"/>
    <cellStyle name="Normal 35 7 2 4" xfId="29618"/>
    <cellStyle name="Normal 35 7 2 4 2" xfId="29619"/>
    <cellStyle name="Normal 35 7 2 4 3" xfId="29620"/>
    <cellStyle name="Normal 35 7 2 4 4" xfId="29621"/>
    <cellStyle name="Normal 35 7 2 5" xfId="29622"/>
    <cellStyle name="Normal 35 7 2 6" xfId="29623"/>
    <cellStyle name="Normal 35 7 2 7" xfId="29624"/>
    <cellStyle name="Normal 35 7 3" xfId="2667"/>
    <cellStyle name="Normal 35 7 3 2" xfId="29625"/>
    <cellStyle name="Normal 35 7 3 2 2" xfId="29626"/>
    <cellStyle name="Normal 35 7 3 2 3" xfId="29627"/>
    <cellStyle name="Normal 35 7 3 2 4" xfId="29628"/>
    <cellStyle name="Normal 35 7 3 3" xfId="29629"/>
    <cellStyle name="Normal 35 7 3 4" xfId="29630"/>
    <cellStyle name="Normal 35 7 3 5" xfId="29631"/>
    <cellStyle name="Normal 35 7 4" xfId="2668"/>
    <cellStyle name="Normal 35 7 4 2" xfId="29632"/>
    <cellStyle name="Normal 35 7 4 2 2" xfId="29633"/>
    <cellStyle name="Normal 35 7 4 2 3" xfId="29634"/>
    <cellStyle name="Normal 35 7 4 2 4" xfId="29635"/>
    <cellStyle name="Normal 35 7 4 3" xfId="29636"/>
    <cellStyle name="Normal 35 7 4 4" xfId="29637"/>
    <cellStyle name="Normal 35 7 4 5" xfId="29638"/>
    <cellStyle name="Normal 35 7 5" xfId="29639"/>
    <cellStyle name="Normal 35 7 5 2" xfId="29640"/>
    <cellStyle name="Normal 35 7 5 3" xfId="29641"/>
    <cellStyle name="Normal 35 7 5 4" xfId="29642"/>
    <cellStyle name="Normal 35 7 6" xfId="29643"/>
    <cellStyle name="Normal 35 7 7" xfId="29644"/>
    <cellStyle name="Normal 35 7 8" xfId="29645"/>
    <cellStyle name="Normal 35 8" xfId="2669"/>
    <cellStyle name="Normal 35 8 2" xfId="2670"/>
    <cellStyle name="Normal 35 8 2 2" xfId="29646"/>
    <cellStyle name="Normal 35 8 2 2 2" xfId="29647"/>
    <cellStyle name="Normal 35 8 2 2 3" xfId="29648"/>
    <cellStyle name="Normal 35 8 2 2 4" xfId="29649"/>
    <cellStyle name="Normal 35 8 2 3" xfId="29650"/>
    <cellStyle name="Normal 35 8 2 4" xfId="29651"/>
    <cellStyle name="Normal 35 8 2 5" xfId="29652"/>
    <cellStyle name="Normal 35 8 3" xfId="2671"/>
    <cellStyle name="Normal 35 8 3 2" xfId="29653"/>
    <cellStyle name="Normal 35 8 3 2 2" xfId="29654"/>
    <cellStyle name="Normal 35 8 3 2 3" xfId="29655"/>
    <cellStyle name="Normal 35 8 3 2 4" xfId="29656"/>
    <cellStyle name="Normal 35 8 3 3" xfId="29657"/>
    <cellStyle name="Normal 35 8 3 4" xfId="29658"/>
    <cellStyle name="Normal 35 8 3 5" xfId="29659"/>
    <cellStyle name="Normal 35 8 4" xfId="29660"/>
    <cellStyle name="Normal 35 8 4 2" xfId="29661"/>
    <cellStyle name="Normal 35 8 4 3" xfId="29662"/>
    <cellStyle name="Normal 35 8 4 4" xfId="29663"/>
    <cellStyle name="Normal 35 8 5" xfId="29664"/>
    <cellStyle name="Normal 35 8 6" xfId="29665"/>
    <cellStyle name="Normal 35 8 7" xfId="29666"/>
    <cellStyle name="Normal 35 9" xfId="2672"/>
    <cellStyle name="Normal 35 9 2" xfId="29667"/>
    <cellStyle name="Normal 35 9 2 2" xfId="29668"/>
    <cellStyle name="Normal 35 9 2 3" xfId="29669"/>
    <cellStyle name="Normal 35 9 2 4" xfId="29670"/>
    <cellStyle name="Normal 35 9 3" xfId="29671"/>
    <cellStyle name="Normal 35 9 4" xfId="29672"/>
    <cellStyle name="Normal 35 9 5" xfId="29673"/>
    <cellStyle name="Normal 36" xfId="2673"/>
    <cellStyle name="Normal 36 10" xfId="2674"/>
    <cellStyle name="Normal 36 10 2" xfId="29674"/>
    <cellStyle name="Normal 36 10 2 2" xfId="29675"/>
    <cellStyle name="Normal 36 10 2 3" xfId="29676"/>
    <cellStyle name="Normal 36 10 2 4" xfId="29677"/>
    <cellStyle name="Normal 36 10 3" xfId="29678"/>
    <cellStyle name="Normal 36 10 4" xfId="29679"/>
    <cellStyle name="Normal 36 10 5" xfId="29680"/>
    <cellStyle name="Normal 36 11" xfId="29681"/>
    <cellStyle name="Normal 36 11 2" xfId="29682"/>
    <cellStyle name="Normal 36 11 3" xfId="29683"/>
    <cellStyle name="Normal 36 11 4" xfId="29684"/>
    <cellStyle name="Normal 36 12" xfId="29685"/>
    <cellStyle name="Normal 36 13" xfId="29686"/>
    <cellStyle name="Normal 36 14" xfId="29687"/>
    <cellStyle name="Normal 36 2" xfId="2675"/>
    <cellStyle name="Normal 36 2 2" xfId="2676"/>
    <cellStyle name="Normal 36 2 2 2" xfId="2677"/>
    <cellStyle name="Normal 36 2 2 2 2" xfId="2678"/>
    <cellStyle name="Normal 36 2 2 2 2 2" xfId="29688"/>
    <cellStyle name="Normal 36 2 2 2 2 2 2" xfId="29689"/>
    <cellStyle name="Normal 36 2 2 2 2 2 3" xfId="29690"/>
    <cellStyle name="Normal 36 2 2 2 2 2 4" xfId="29691"/>
    <cellStyle name="Normal 36 2 2 2 2 3" xfId="29692"/>
    <cellStyle name="Normal 36 2 2 2 2 4" xfId="29693"/>
    <cellStyle name="Normal 36 2 2 2 2 5" xfId="29694"/>
    <cellStyle name="Normal 36 2 2 2 3" xfId="2679"/>
    <cellStyle name="Normal 36 2 2 2 3 2" xfId="29695"/>
    <cellStyle name="Normal 36 2 2 2 3 2 2" xfId="29696"/>
    <cellStyle name="Normal 36 2 2 2 3 2 3" xfId="29697"/>
    <cellStyle name="Normal 36 2 2 2 3 2 4" xfId="29698"/>
    <cellStyle name="Normal 36 2 2 2 3 3" xfId="29699"/>
    <cellStyle name="Normal 36 2 2 2 3 4" xfId="29700"/>
    <cellStyle name="Normal 36 2 2 2 3 5" xfId="29701"/>
    <cellStyle name="Normal 36 2 2 2 4" xfId="29702"/>
    <cellStyle name="Normal 36 2 2 2 4 2" xfId="29703"/>
    <cellStyle name="Normal 36 2 2 2 4 3" xfId="29704"/>
    <cellStyle name="Normal 36 2 2 2 4 4" xfId="29705"/>
    <cellStyle name="Normal 36 2 2 2 5" xfId="29706"/>
    <cellStyle name="Normal 36 2 2 2 6" xfId="29707"/>
    <cellStyle name="Normal 36 2 2 2 7" xfId="29708"/>
    <cellStyle name="Normal 36 2 2 3" xfId="2680"/>
    <cellStyle name="Normal 36 2 2 3 2" xfId="29709"/>
    <cellStyle name="Normal 36 2 2 3 2 2" xfId="29710"/>
    <cellStyle name="Normal 36 2 2 3 2 3" xfId="29711"/>
    <cellStyle name="Normal 36 2 2 3 2 4" xfId="29712"/>
    <cellStyle name="Normal 36 2 2 3 3" xfId="29713"/>
    <cellStyle name="Normal 36 2 2 3 4" xfId="29714"/>
    <cellStyle name="Normal 36 2 2 3 5" xfId="29715"/>
    <cellStyle name="Normal 36 2 2 4" xfId="2681"/>
    <cellStyle name="Normal 36 2 2 4 2" xfId="29716"/>
    <cellStyle name="Normal 36 2 2 4 2 2" xfId="29717"/>
    <cellStyle name="Normal 36 2 2 4 2 3" xfId="29718"/>
    <cellStyle name="Normal 36 2 2 4 2 4" xfId="29719"/>
    <cellStyle name="Normal 36 2 2 4 3" xfId="29720"/>
    <cellStyle name="Normal 36 2 2 4 4" xfId="29721"/>
    <cellStyle name="Normal 36 2 2 4 5" xfId="29722"/>
    <cellStyle name="Normal 36 2 2 5" xfId="29723"/>
    <cellStyle name="Normal 36 2 2 5 2" xfId="29724"/>
    <cellStyle name="Normal 36 2 2 5 3" xfId="29725"/>
    <cellStyle name="Normal 36 2 2 5 4" xfId="29726"/>
    <cellStyle name="Normal 36 2 2 6" xfId="29727"/>
    <cellStyle name="Normal 36 2 2 7" xfId="29728"/>
    <cellStyle name="Normal 36 2 2 8" xfId="29729"/>
    <cellStyle name="Normal 36 2 3" xfId="2682"/>
    <cellStyle name="Normal 36 2 3 2" xfId="2683"/>
    <cellStyle name="Normal 36 2 3 2 2" xfId="29730"/>
    <cellStyle name="Normal 36 2 3 2 2 2" xfId="29731"/>
    <cellStyle name="Normal 36 2 3 2 2 3" xfId="29732"/>
    <cellStyle name="Normal 36 2 3 2 2 4" xfId="29733"/>
    <cellStyle name="Normal 36 2 3 2 3" xfId="29734"/>
    <cellStyle name="Normal 36 2 3 2 4" xfId="29735"/>
    <cellStyle name="Normal 36 2 3 2 5" xfId="29736"/>
    <cellStyle name="Normal 36 2 3 3" xfId="2684"/>
    <cellStyle name="Normal 36 2 3 3 2" xfId="29737"/>
    <cellStyle name="Normal 36 2 3 3 2 2" xfId="29738"/>
    <cellStyle name="Normal 36 2 3 3 2 3" xfId="29739"/>
    <cellStyle name="Normal 36 2 3 3 2 4" xfId="29740"/>
    <cellStyle name="Normal 36 2 3 3 3" xfId="29741"/>
    <cellStyle name="Normal 36 2 3 3 4" xfId="29742"/>
    <cellStyle name="Normal 36 2 3 3 5" xfId="29743"/>
    <cellStyle name="Normal 36 2 3 4" xfId="29744"/>
    <cellStyle name="Normal 36 2 3 4 2" xfId="29745"/>
    <cellStyle name="Normal 36 2 3 4 3" xfId="29746"/>
    <cellStyle name="Normal 36 2 3 4 4" xfId="29747"/>
    <cellStyle name="Normal 36 2 3 5" xfId="29748"/>
    <cellStyle name="Normal 36 2 3 6" xfId="29749"/>
    <cellStyle name="Normal 36 2 3 7" xfId="29750"/>
    <cellStyle name="Normal 36 2 4" xfId="2685"/>
    <cellStyle name="Normal 36 2 4 2" xfId="29751"/>
    <cellStyle name="Normal 36 2 4 2 2" xfId="29752"/>
    <cellStyle name="Normal 36 2 4 2 3" xfId="29753"/>
    <cellStyle name="Normal 36 2 4 2 4" xfId="29754"/>
    <cellStyle name="Normal 36 2 4 3" xfId="29755"/>
    <cellStyle name="Normal 36 2 4 4" xfId="29756"/>
    <cellStyle name="Normal 36 2 4 5" xfId="29757"/>
    <cellStyle name="Normal 36 2 5" xfId="2686"/>
    <cellStyle name="Normal 36 2 5 2" xfId="29758"/>
    <cellStyle name="Normal 36 2 5 2 2" xfId="29759"/>
    <cellStyle name="Normal 36 2 5 2 3" xfId="29760"/>
    <cellStyle name="Normal 36 2 5 2 4" xfId="29761"/>
    <cellStyle name="Normal 36 2 5 3" xfId="29762"/>
    <cellStyle name="Normal 36 2 5 4" xfId="29763"/>
    <cellStyle name="Normal 36 2 5 5" xfId="29764"/>
    <cellStyle name="Normal 36 2 6" xfId="29765"/>
    <cellStyle name="Normal 36 2 6 2" xfId="29766"/>
    <cellStyle name="Normal 36 2 6 3" xfId="29767"/>
    <cellStyle name="Normal 36 2 6 4" xfId="29768"/>
    <cellStyle name="Normal 36 2 7" xfId="29769"/>
    <cellStyle name="Normal 36 2 8" xfId="29770"/>
    <cellStyle name="Normal 36 2 9" xfId="29771"/>
    <cellStyle name="Normal 36 3" xfId="2687"/>
    <cellStyle name="Normal 36 3 2" xfId="2688"/>
    <cellStyle name="Normal 36 3 2 2" xfId="2689"/>
    <cellStyle name="Normal 36 3 2 2 2" xfId="2690"/>
    <cellStyle name="Normal 36 3 2 2 2 2" xfId="29772"/>
    <cellStyle name="Normal 36 3 2 2 2 2 2" xfId="29773"/>
    <cellStyle name="Normal 36 3 2 2 2 2 3" xfId="29774"/>
    <cellStyle name="Normal 36 3 2 2 2 2 4" xfId="29775"/>
    <cellStyle name="Normal 36 3 2 2 2 3" xfId="29776"/>
    <cellStyle name="Normal 36 3 2 2 2 4" xfId="29777"/>
    <cellStyle name="Normal 36 3 2 2 2 5" xfId="29778"/>
    <cellStyle name="Normal 36 3 2 2 3" xfId="2691"/>
    <cellStyle name="Normal 36 3 2 2 3 2" xfId="29779"/>
    <cellStyle name="Normal 36 3 2 2 3 2 2" xfId="29780"/>
    <cellStyle name="Normal 36 3 2 2 3 2 3" xfId="29781"/>
    <cellStyle name="Normal 36 3 2 2 3 2 4" xfId="29782"/>
    <cellStyle name="Normal 36 3 2 2 3 3" xfId="29783"/>
    <cellStyle name="Normal 36 3 2 2 3 4" xfId="29784"/>
    <cellStyle name="Normal 36 3 2 2 3 5" xfId="29785"/>
    <cellStyle name="Normal 36 3 2 2 4" xfId="29786"/>
    <cellStyle name="Normal 36 3 2 2 4 2" xfId="29787"/>
    <cellStyle name="Normal 36 3 2 2 4 3" xfId="29788"/>
    <cellStyle name="Normal 36 3 2 2 4 4" xfId="29789"/>
    <cellStyle name="Normal 36 3 2 2 5" xfId="29790"/>
    <cellStyle name="Normal 36 3 2 2 6" xfId="29791"/>
    <cellStyle name="Normal 36 3 2 2 7" xfId="29792"/>
    <cellStyle name="Normal 36 3 2 3" xfId="2692"/>
    <cellStyle name="Normal 36 3 2 3 2" xfId="29793"/>
    <cellStyle name="Normal 36 3 2 3 2 2" xfId="29794"/>
    <cellStyle name="Normal 36 3 2 3 2 3" xfId="29795"/>
    <cellStyle name="Normal 36 3 2 3 2 4" xfId="29796"/>
    <cellStyle name="Normal 36 3 2 3 3" xfId="29797"/>
    <cellStyle name="Normal 36 3 2 3 4" xfId="29798"/>
    <cellStyle name="Normal 36 3 2 3 5" xfId="29799"/>
    <cellStyle name="Normal 36 3 2 4" xfId="2693"/>
    <cellStyle name="Normal 36 3 2 4 2" xfId="29800"/>
    <cellStyle name="Normal 36 3 2 4 2 2" xfId="29801"/>
    <cellStyle name="Normal 36 3 2 4 2 3" xfId="29802"/>
    <cellStyle name="Normal 36 3 2 4 2 4" xfId="29803"/>
    <cellStyle name="Normal 36 3 2 4 3" xfId="29804"/>
    <cellStyle name="Normal 36 3 2 4 4" xfId="29805"/>
    <cellStyle name="Normal 36 3 2 4 5" xfId="29806"/>
    <cellStyle name="Normal 36 3 2 5" xfId="29807"/>
    <cellStyle name="Normal 36 3 2 5 2" xfId="29808"/>
    <cellStyle name="Normal 36 3 2 5 3" xfId="29809"/>
    <cellStyle name="Normal 36 3 2 5 4" xfId="29810"/>
    <cellStyle name="Normal 36 3 2 6" xfId="29811"/>
    <cellStyle name="Normal 36 3 2 7" xfId="29812"/>
    <cellStyle name="Normal 36 3 2 8" xfId="29813"/>
    <cellStyle name="Normal 36 3 3" xfId="2694"/>
    <cellStyle name="Normal 36 3 3 2" xfId="2695"/>
    <cellStyle name="Normal 36 3 3 2 2" xfId="29814"/>
    <cellStyle name="Normal 36 3 3 2 2 2" xfId="29815"/>
    <cellStyle name="Normal 36 3 3 2 2 3" xfId="29816"/>
    <cellStyle name="Normal 36 3 3 2 2 4" xfId="29817"/>
    <cellStyle name="Normal 36 3 3 2 3" xfId="29818"/>
    <cellStyle name="Normal 36 3 3 2 4" xfId="29819"/>
    <cellStyle name="Normal 36 3 3 2 5" xfId="29820"/>
    <cellStyle name="Normal 36 3 3 3" xfId="2696"/>
    <cellStyle name="Normal 36 3 3 3 2" xfId="29821"/>
    <cellStyle name="Normal 36 3 3 3 2 2" xfId="29822"/>
    <cellStyle name="Normal 36 3 3 3 2 3" xfId="29823"/>
    <cellStyle name="Normal 36 3 3 3 2 4" xfId="29824"/>
    <cellStyle name="Normal 36 3 3 3 3" xfId="29825"/>
    <cellStyle name="Normal 36 3 3 3 4" xfId="29826"/>
    <cellStyle name="Normal 36 3 3 3 5" xfId="29827"/>
    <cellStyle name="Normal 36 3 3 4" xfId="29828"/>
    <cellStyle name="Normal 36 3 3 4 2" xfId="29829"/>
    <cellStyle name="Normal 36 3 3 4 3" xfId="29830"/>
    <cellStyle name="Normal 36 3 3 4 4" xfId="29831"/>
    <cellStyle name="Normal 36 3 3 5" xfId="29832"/>
    <cellStyle name="Normal 36 3 3 6" xfId="29833"/>
    <cellStyle name="Normal 36 3 3 7" xfId="29834"/>
    <cellStyle name="Normal 36 3 4" xfId="2697"/>
    <cellStyle name="Normal 36 3 4 2" xfId="29835"/>
    <cellStyle name="Normal 36 3 4 2 2" xfId="29836"/>
    <cellStyle name="Normal 36 3 4 2 3" xfId="29837"/>
    <cellStyle name="Normal 36 3 4 2 4" xfId="29838"/>
    <cellStyle name="Normal 36 3 4 3" xfId="29839"/>
    <cellStyle name="Normal 36 3 4 4" xfId="29840"/>
    <cellStyle name="Normal 36 3 4 5" xfId="29841"/>
    <cellStyle name="Normal 36 3 5" xfId="2698"/>
    <cellStyle name="Normal 36 3 5 2" xfId="29842"/>
    <cellStyle name="Normal 36 3 5 2 2" xfId="29843"/>
    <cellStyle name="Normal 36 3 5 2 3" xfId="29844"/>
    <cellStyle name="Normal 36 3 5 2 4" xfId="29845"/>
    <cellStyle name="Normal 36 3 5 3" xfId="29846"/>
    <cellStyle name="Normal 36 3 5 4" xfId="29847"/>
    <cellStyle name="Normal 36 3 5 5" xfId="29848"/>
    <cellStyle name="Normal 36 3 6" xfId="29849"/>
    <cellStyle name="Normal 36 3 6 2" xfId="29850"/>
    <cellStyle name="Normal 36 3 6 3" xfId="29851"/>
    <cellStyle name="Normal 36 3 6 4" xfId="29852"/>
    <cellStyle name="Normal 36 3 7" xfId="29853"/>
    <cellStyle name="Normal 36 3 8" xfId="29854"/>
    <cellStyle name="Normal 36 3 9" xfId="29855"/>
    <cellStyle name="Normal 36 4" xfId="2699"/>
    <cellStyle name="Normal 36 4 2" xfId="2700"/>
    <cellStyle name="Normal 36 4 2 2" xfId="2701"/>
    <cellStyle name="Normal 36 4 2 2 2" xfId="2702"/>
    <cellStyle name="Normal 36 4 2 2 2 2" xfId="29856"/>
    <cellStyle name="Normal 36 4 2 2 2 2 2" xfId="29857"/>
    <cellStyle name="Normal 36 4 2 2 2 2 3" xfId="29858"/>
    <cellStyle name="Normal 36 4 2 2 2 2 4" xfId="29859"/>
    <cellStyle name="Normal 36 4 2 2 2 3" xfId="29860"/>
    <cellStyle name="Normal 36 4 2 2 2 4" xfId="29861"/>
    <cellStyle name="Normal 36 4 2 2 2 5" xfId="29862"/>
    <cellStyle name="Normal 36 4 2 2 3" xfId="2703"/>
    <cellStyle name="Normal 36 4 2 2 3 2" xfId="29863"/>
    <cellStyle name="Normal 36 4 2 2 3 2 2" xfId="29864"/>
    <cellStyle name="Normal 36 4 2 2 3 2 3" xfId="29865"/>
    <cellStyle name="Normal 36 4 2 2 3 2 4" xfId="29866"/>
    <cellStyle name="Normal 36 4 2 2 3 3" xfId="29867"/>
    <cellStyle name="Normal 36 4 2 2 3 4" xfId="29868"/>
    <cellStyle name="Normal 36 4 2 2 3 5" xfId="29869"/>
    <cellStyle name="Normal 36 4 2 2 4" xfId="29870"/>
    <cellStyle name="Normal 36 4 2 2 4 2" xfId="29871"/>
    <cellStyle name="Normal 36 4 2 2 4 3" xfId="29872"/>
    <cellStyle name="Normal 36 4 2 2 4 4" xfId="29873"/>
    <cellStyle name="Normal 36 4 2 2 5" xfId="29874"/>
    <cellStyle name="Normal 36 4 2 2 6" xfId="29875"/>
    <cellStyle name="Normal 36 4 2 2 7" xfId="29876"/>
    <cellStyle name="Normal 36 4 2 3" xfId="2704"/>
    <cellStyle name="Normal 36 4 2 3 2" xfId="29877"/>
    <cellStyle name="Normal 36 4 2 3 2 2" xfId="29878"/>
    <cellStyle name="Normal 36 4 2 3 2 3" xfId="29879"/>
    <cellStyle name="Normal 36 4 2 3 2 4" xfId="29880"/>
    <cellStyle name="Normal 36 4 2 3 3" xfId="29881"/>
    <cellStyle name="Normal 36 4 2 3 4" xfId="29882"/>
    <cellStyle name="Normal 36 4 2 3 5" xfId="29883"/>
    <cellStyle name="Normal 36 4 2 4" xfId="2705"/>
    <cellStyle name="Normal 36 4 2 4 2" xfId="29884"/>
    <cellStyle name="Normal 36 4 2 4 2 2" xfId="29885"/>
    <cellStyle name="Normal 36 4 2 4 2 3" xfId="29886"/>
    <cellStyle name="Normal 36 4 2 4 2 4" xfId="29887"/>
    <cellStyle name="Normal 36 4 2 4 3" xfId="29888"/>
    <cellStyle name="Normal 36 4 2 4 4" xfId="29889"/>
    <cellStyle name="Normal 36 4 2 4 5" xfId="29890"/>
    <cellStyle name="Normal 36 4 2 5" xfId="29891"/>
    <cellStyle name="Normal 36 4 2 5 2" xfId="29892"/>
    <cellStyle name="Normal 36 4 2 5 3" xfId="29893"/>
    <cellStyle name="Normal 36 4 2 5 4" xfId="29894"/>
    <cellStyle name="Normal 36 4 2 6" xfId="29895"/>
    <cellStyle name="Normal 36 4 2 7" xfId="29896"/>
    <cellStyle name="Normal 36 4 2 8" xfId="29897"/>
    <cellStyle name="Normal 36 4 3" xfId="2706"/>
    <cellStyle name="Normal 36 4 3 2" xfId="2707"/>
    <cellStyle name="Normal 36 4 3 2 2" xfId="29898"/>
    <cellStyle name="Normal 36 4 3 2 2 2" xfId="29899"/>
    <cellStyle name="Normal 36 4 3 2 2 3" xfId="29900"/>
    <cellStyle name="Normal 36 4 3 2 2 4" xfId="29901"/>
    <cellStyle name="Normal 36 4 3 2 3" xfId="29902"/>
    <cellStyle name="Normal 36 4 3 2 4" xfId="29903"/>
    <cellStyle name="Normal 36 4 3 2 5" xfId="29904"/>
    <cellStyle name="Normal 36 4 3 3" xfId="2708"/>
    <cellStyle name="Normal 36 4 3 3 2" xfId="29905"/>
    <cellStyle name="Normal 36 4 3 3 2 2" xfId="29906"/>
    <cellStyle name="Normal 36 4 3 3 2 3" xfId="29907"/>
    <cellStyle name="Normal 36 4 3 3 2 4" xfId="29908"/>
    <cellStyle name="Normal 36 4 3 3 3" xfId="29909"/>
    <cellStyle name="Normal 36 4 3 3 4" xfId="29910"/>
    <cellStyle name="Normal 36 4 3 3 5" xfId="29911"/>
    <cellStyle name="Normal 36 4 3 4" xfId="29912"/>
    <cellStyle name="Normal 36 4 3 4 2" xfId="29913"/>
    <cellStyle name="Normal 36 4 3 4 3" xfId="29914"/>
    <cellStyle name="Normal 36 4 3 4 4" xfId="29915"/>
    <cellStyle name="Normal 36 4 3 5" xfId="29916"/>
    <cellStyle name="Normal 36 4 3 6" xfId="29917"/>
    <cellStyle name="Normal 36 4 3 7" xfId="29918"/>
    <cellStyle name="Normal 36 4 4" xfId="2709"/>
    <cellStyle name="Normal 36 4 4 2" xfId="29919"/>
    <cellStyle name="Normal 36 4 4 2 2" xfId="29920"/>
    <cellStyle name="Normal 36 4 4 2 3" xfId="29921"/>
    <cellStyle name="Normal 36 4 4 2 4" xfId="29922"/>
    <cellStyle name="Normal 36 4 4 3" xfId="29923"/>
    <cellStyle name="Normal 36 4 4 4" xfId="29924"/>
    <cellStyle name="Normal 36 4 4 5" xfId="29925"/>
    <cellStyle name="Normal 36 4 5" xfId="2710"/>
    <cellStyle name="Normal 36 4 5 2" xfId="29926"/>
    <cellStyle name="Normal 36 4 5 2 2" xfId="29927"/>
    <cellStyle name="Normal 36 4 5 2 3" xfId="29928"/>
    <cellStyle name="Normal 36 4 5 2 4" xfId="29929"/>
    <cellStyle name="Normal 36 4 5 3" xfId="29930"/>
    <cellStyle name="Normal 36 4 5 4" xfId="29931"/>
    <cellStyle name="Normal 36 4 5 5" xfId="29932"/>
    <cellStyle name="Normal 36 4 6" xfId="29933"/>
    <cellStyle name="Normal 36 4 6 2" xfId="29934"/>
    <cellStyle name="Normal 36 4 6 3" xfId="29935"/>
    <cellStyle name="Normal 36 4 6 4" xfId="29936"/>
    <cellStyle name="Normal 36 4 7" xfId="29937"/>
    <cellStyle name="Normal 36 4 8" xfId="29938"/>
    <cellStyle name="Normal 36 4 9" xfId="29939"/>
    <cellStyle name="Normal 36 5" xfId="2711"/>
    <cellStyle name="Normal 36 5 2" xfId="2712"/>
    <cellStyle name="Normal 36 5 2 2" xfId="2713"/>
    <cellStyle name="Normal 36 5 2 2 2" xfId="2714"/>
    <cellStyle name="Normal 36 5 2 2 2 2" xfId="29940"/>
    <cellStyle name="Normal 36 5 2 2 2 2 2" xfId="29941"/>
    <cellStyle name="Normal 36 5 2 2 2 2 3" xfId="29942"/>
    <cellStyle name="Normal 36 5 2 2 2 2 4" xfId="29943"/>
    <cellStyle name="Normal 36 5 2 2 2 3" xfId="29944"/>
    <cellStyle name="Normal 36 5 2 2 2 4" xfId="29945"/>
    <cellStyle name="Normal 36 5 2 2 2 5" xfId="29946"/>
    <cellStyle name="Normal 36 5 2 2 3" xfId="2715"/>
    <cellStyle name="Normal 36 5 2 2 3 2" xfId="29947"/>
    <cellStyle name="Normal 36 5 2 2 3 2 2" xfId="29948"/>
    <cellStyle name="Normal 36 5 2 2 3 2 3" xfId="29949"/>
    <cellStyle name="Normal 36 5 2 2 3 2 4" xfId="29950"/>
    <cellStyle name="Normal 36 5 2 2 3 3" xfId="29951"/>
    <cellStyle name="Normal 36 5 2 2 3 4" xfId="29952"/>
    <cellStyle name="Normal 36 5 2 2 3 5" xfId="29953"/>
    <cellStyle name="Normal 36 5 2 2 4" xfId="29954"/>
    <cellStyle name="Normal 36 5 2 2 4 2" xfId="29955"/>
    <cellStyle name="Normal 36 5 2 2 4 3" xfId="29956"/>
    <cellStyle name="Normal 36 5 2 2 4 4" xfId="29957"/>
    <cellStyle name="Normal 36 5 2 2 5" xfId="29958"/>
    <cellStyle name="Normal 36 5 2 2 6" xfId="29959"/>
    <cellStyle name="Normal 36 5 2 2 7" xfId="29960"/>
    <cellStyle name="Normal 36 5 2 3" xfId="2716"/>
    <cellStyle name="Normal 36 5 2 3 2" xfId="29961"/>
    <cellStyle name="Normal 36 5 2 3 2 2" xfId="29962"/>
    <cellStyle name="Normal 36 5 2 3 2 3" xfId="29963"/>
    <cellStyle name="Normal 36 5 2 3 2 4" xfId="29964"/>
    <cellStyle name="Normal 36 5 2 3 3" xfId="29965"/>
    <cellStyle name="Normal 36 5 2 3 4" xfId="29966"/>
    <cellStyle name="Normal 36 5 2 3 5" xfId="29967"/>
    <cellStyle name="Normal 36 5 2 4" xfId="2717"/>
    <cellStyle name="Normal 36 5 2 4 2" xfId="29968"/>
    <cellStyle name="Normal 36 5 2 4 2 2" xfId="29969"/>
    <cellStyle name="Normal 36 5 2 4 2 3" xfId="29970"/>
    <cellStyle name="Normal 36 5 2 4 2 4" xfId="29971"/>
    <cellStyle name="Normal 36 5 2 4 3" xfId="29972"/>
    <cellStyle name="Normal 36 5 2 4 4" xfId="29973"/>
    <cellStyle name="Normal 36 5 2 4 5" xfId="29974"/>
    <cellStyle name="Normal 36 5 2 5" xfId="29975"/>
    <cellStyle name="Normal 36 5 2 5 2" xfId="29976"/>
    <cellStyle name="Normal 36 5 2 5 3" xfId="29977"/>
    <cellStyle name="Normal 36 5 2 5 4" xfId="29978"/>
    <cellStyle name="Normal 36 5 2 6" xfId="29979"/>
    <cellStyle name="Normal 36 5 2 7" xfId="29980"/>
    <cellStyle name="Normal 36 5 2 8" xfId="29981"/>
    <cellStyle name="Normal 36 5 3" xfId="2718"/>
    <cellStyle name="Normal 36 5 3 2" xfId="2719"/>
    <cellStyle name="Normal 36 5 3 2 2" xfId="29982"/>
    <cellStyle name="Normal 36 5 3 2 2 2" xfId="29983"/>
    <cellStyle name="Normal 36 5 3 2 2 3" xfId="29984"/>
    <cellStyle name="Normal 36 5 3 2 2 4" xfId="29985"/>
    <cellStyle name="Normal 36 5 3 2 3" xfId="29986"/>
    <cellStyle name="Normal 36 5 3 2 4" xfId="29987"/>
    <cellStyle name="Normal 36 5 3 2 5" xfId="29988"/>
    <cellStyle name="Normal 36 5 3 3" xfId="2720"/>
    <cellStyle name="Normal 36 5 3 3 2" xfId="29989"/>
    <cellStyle name="Normal 36 5 3 3 2 2" xfId="29990"/>
    <cellStyle name="Normal 36 5 3 3 2 3" xfId="29991"/>
    <cellStyle name="Normal 36 5 3 3 2 4" xfId="29992"/>
    <cellStyle name="Normal 36 5 3 3 3" xfId="29993"/>
    <cellStyle name="Normal 36 5 3 3 4" xfId="29994"/>
    <cellStyle name="Normal 36 5 3 3 5" xfId="29995"/>
    <cellStyle name="Normal 36 5 3 4" xfId="29996"/>
    <cellStyle name="Normal 36 5 3 4 2" xfId="29997"/>
    <cellStyle name="Normal 36 5 3 4 3" xfId="29998"/>
    <cellStyle name="Normal 36 5 3 4 4" xfId="29999"/>
    <cellStyle name="Normal 36 5 3 5" xfId="30000"/>
    <cellStyle name="Normal 36 5 3 6" xfId="30001"/>
    <cellStyle name="Normal 36 5 3 7" xfId="30002"/>
    <cellStyle name="Normal 36 5 4" xfId="2721"/>
    <cellStyle name="Normal 36 5 4 2" xfId="30003"/>
    <cellStyle name="Normal 36 5 4 2 2" xfId="30004"/>
    <cellStyle name="Normal 36 5 4 2 3" xfId="30005"/>
    <cellStyle name="Normal 36 5 4 2 4" xfId="30006"/>
    <cellStyle name="Normal 36 5 4 3" xfId="30007"/>
    <cellStyle name="Normal 36 5 4 4" xfId="30008"/>
    <cellStyle name="Normal 36 5 4 5" xfId="30009"/>
    <cellStyle name="Normal 36 5 5" xfId="2722"/>
    <cellStyle name="Normal 36 5 5 2" xfId="30010"/>
    <cellStyle name="Normal 36 5 5 2 2" xfId="30011"/>
    <cellStyle name="Normal 36 5 5 2 3" xfId="30012"/>
    <cellStyle name="Normal 36 5 5 2 4" xfId="30013"/>
    <cellStyle name="Normal 36 5 5 3" xfId="30014"/>
    <cellStyle name="Normal 36 5 5 4" xfId="30015"/>
    <cellStyle name="Normal 36 5 5 5" xfId="30016"/>
    <cellStyle name="Normal 36 5 6" xfId="30017"/>
    <cellStyle name="Normal 36 5 6 2" xfId="30018"/>
    <cellStyle name="Normal 36 5 6 3" xfId="30019"/>
    <cellStyle name="Normal 36 5 6 4" xfId="30020"/>
    <cellStyle name="Normal 36 5 7" xfId="30021"/>
    <cellStyle name="Normal 36 5 8" xfId="30022"/>
    <cellStyle name="Normal 36 5 9" xfId="30023"/>
    <cellStyle name="Normal 36 6" xfId="2723"/>
    <cellStyle name="Normal 36 6 2" xfId="2724"/>
    <cellStyle name="Normal 36 6 2 2" xfId="2725"/>
    <cellStyle name="Normal 36 6 2 2 2" xfId="2726"/>
    <cellStyle name="Normal 36 6 2 2 2 2" xfId="30024"/>
    <cellStyle name="Normal 36 6 2 2 2 2 2" xfId="30025"/>
    <cellStyle name="Normal 36 6 2 2 2 2 3" xfId="30026"/>
    <cellStyle name="Normal 36 6 2 2 2 2 4" xfId="30027"/>
    <cellStyle name="Normal 36 6 2 2 2 3" xfId="30028"/>
    <cellStyle name="Normal 36 6 2 2 2 4" xfId="30029"/>
    <cellStyle name="Normal 36 6 2 2 2 5" xfId="30030"/>
    <cellStyle name="Normal 36 6 2 2 3" xfId="2727"/>
    <cellStyle name="Normal 36 6 2 2 3 2" xfId="30031"/>
    <cellStyle name="Normal 36 6 2 2 3 2 2" xfId="30032"/>
    <cellStyle name="Normal 36 6 2 2 3 2 3" xfId="30033"/>
    <cellStyle name="Normal 36 6 2 2 3 2 4" xfId="30034"/>
    <cellStyle name="Normal 36 6 2 2 3 3" xfId="30035"/>
    <cellStyle name="Normal 36 6 2 2 3 4" xfId="30036"/>
    <cellStyle name="Normal 36 6 2 2 3 5" xfId="30037"/>
    <cellStyle name="Normal 36 6 2 2 4" xfId="30038"/>
    <cellStyle name="Normal 36 6 2 2 4 2" xfId="30039"/>
    <cellStyle name="Normal 36 6 2 2 4 3" xfId="30040"/>
    <cellStyle name="Normal 36 6 2 2 4 4" xfId="30041"/>
    <cellStyle name="Normal 36 6 2 2 5" xfId="30042"/>
    <cellStyle name="Normal 36 6 2 2 6" xfId="30043"/>
    <cellStyle name="Normal 36 6 2 2 7" xfId="30044"/>
    <cellStyle name="Normal 36 6 2 3" xfId="2728"/>
    <cellStyle name="Normal 36 6 2 3 2" xfId="30045"/>
    <cellStyle name="Normal 36 6 2 3 2 2" xfId="30046"/>
    <cellStyle name="Normal 36 6 2 3 2 3" xfId="30047"/>
    <cellStyle name="Normal 36 6 2 3 2 4" xfId="30048"/>
    <cellStyle name="Normal 36 6 2 3 3" xfId="30049"/>
    <cellStyle name="Normal 36 6 2 3 4" xfId="30050"/>
    <cellStyle name="Normal 36 6 2 3 5" xfId="30051"/>
    <cellStyle name="Normal 36 6 2 4" xfId="2729"/>
    <cellStyle name="Normal 36 6 2 4 2" xfId="30052"/>
    <cellStyle name="Normal 36 6 2 4 2 2" xfId="30053"/>
    <cellStyle name="Normal 36 6 2 4 2 3" xfId="30054"/>
    <cellStyle name="Normal 36 6 2 4 2 4" xfId="30055"/>
    <cellStyle name="Normal 36 6 2 4 3" xfId="30056"/>
    <cellStyle name="Normal 36 6 2 4 4" xfId="30057"/>
    <cellStyle name="Normal 36 6 2 4 5" xfId="30058"/>
    <cellStyle name="Normal 36 6 2 5" xfId="30059"/>
    <cellStyle name="Normal 36 6 2 5 2" xfId="30060"/>
    <cellStyle name="Normal 36 6 2 5 3" xfId="30061"/>
    <cellStyle name="Normal 36 6 2 5 4" xfId="30062"/>
    <cellStyle name="Normal 36 6 2 6" xfId="30063"/>
    <cellStyle name="Normal 36 6 2 7" xfId="30064"/>
    <cellStyle name="Normal 36 6 2 8" xfId="30065"/>
    <cellStyle name="Normal 36 6 3" xfId="2730"/>
    <cellStyle name="Normal 36 6 3 2" xfId="2731"/>
    <cellStyle name="Normal 36 6 3 2 2" xfId="30066"/>
    <cellStyle name="Normal 36 6 3 2 2 2" xfId="30067"/>
    <cellStyle name="Normal 36 6 3 2 2 3" xfId="30068"/>
    <cellStyle name="Normal 36 6 3 2 2 4" xfId="30069"/>
    <cellStyle name="Normal 36 6 3 2 3" xfId="30070"/>
    <cellStyle name="Normal 36 6 3 2 4" xfId="30071"/>
    <cellStyle name="Normal 36 6 3 2 5" xfId="30072"/>
    <cellStyle name="Normal 36 6 3 3" xfId="2732"/>
    <cellStyle name="Normal 36 6 3 3 2" xfId="30073"/>
    <cellStyle name="Normal 36 6 3 3 2 2" xfId="30074"/>
    <cellStyle name="Normal 36 6 3 3 2 3" xfId="30075"/>
    <cellStyle name="Normal 36 6 3 3 2 4" xfId="30076"/>
    <cellStyle name="Normal 36 6 3 3 3" xfId="30077"/>
    <cellStyle name="Normal 36 6 3 3 4" xfId="30078"/>
    <cellStyle name="Normal 36 6 3 3 5" xfId="30079"/>
    <cellStyle name="Normal 36 6 3 4" xfId="30080"/>
    <cellStyle name="Normal 36 6 3 4 2" xfId="30081"/>
    <cellStyle name="Normal 36 6 3 4 3" xfId="30082"/>
    <cellStyle name="Normal 36 6 3 4 4" xfId="30083"/>
    <cellStyle name="Normal 36 6 3 5" xfId="30084"/>
    <cellStyle name="Normal 36 6 3 6" xfId="30085"/>
    <cellStyle name="Normal 36 6 3 7" xfId="30086"/>
    <cellStyle name="Normal 36 6 4" xfId="2733"/>
    <cellStyle name="Normal 36 6 4 2" xfId="30087"/>
    <cellStyle name="Normal 36 6 4 2 2" xfId="30088"/>
    <cellStyle name="Normal 36 6 4 2 3" xfId="30089"/>
    <cellStyle name="Normal 36 6 4 2 4" xfId="30090"/>
    <cellStyle name="Normal 36 6 4 3" xfId="30091"/>
    <cellStyle name="Normal 36 6 4 4" xfId="30092"/>
    <cellStyle name="Normal 36 6 4 5" xfId="30093"/>
    <cellStyle name="Normal 36 6 5" xfId="2734"/>
    <cellStyle name="Normal 36 6 5 2" xfId="30094"/>
    <cellStyle name="Normal 36 6 5 2 2" xfId="30095"/>
    <cellStyle name="Normal 36 6 5 2 3" xfId="30096"/>
    <cellStyle name="Normal 36 6 5 2 4" xfId="30097"/>
    <cellStyle name="Normal 36 6 5 3" xfId="30098"/>
    <cellStyle name="Normal 36 6 5 4" xfId="30099"/>
    <cellStyle name="Normal 36 6 5 5" xfId="30100"/>
    <cellStyle name="Normal 36 6 6" xfId="30101"/>
    <cellStyle name="Normal 36 6 6 2" xfId="30102"/>
    <cellStyle name="Normal 36 6 6 3" xfId="30103"/>
    <cellStyle name="Normal 36 6 6 4" xfId="30104"/>
    <cellStyle name="Normal 36 6 7" xfId="30105"/>
    <cellStyle name="Normal 36 6 8" xfId="30106"/>
    <cellStyle name="Normal 36 6 9" xfId="30107"/>
    <cellStyle name="Normal 36 7" xfId="2735"/>
    <cellStyle name="Normal 36 7 2" xfId="2736"/>
    <cellStyle name="Normal 36 7 2 2" xfId="2737"/>
    <cellStyle name="Normal 36 7 2 2 2" xfId="30108"/>
    <cellStyle name="Normal 36 7 2 2 2 2" xfId="30109"/>
    <cellStyle name="Normal 36 7 2 2 2 3" xfId="30110"/>
    <cellStyle name="Normal 36 7 2 2 2 4" xfId="30111"/>
    <cellStyle name="Normal 36 7 2 2 3" xfId="30112"/>
    <cellStyle name="Normal 36 7 2 2 4" xfId="30113"/>
    <cellStyle name="Normal 36 7 2 2 5" xfId="30114"/>
    <cellStyle name="Normal 36 7 2 3" xfId="2738"/>
    <cellStyle name="Normal 36 7 2 3 2" xfId="30115"/>
    <cellStyle name="Normal 36 7 2 3 2 2" xfId="30116"/>
    <cellStyle name="Normal 36 7 2 3 2 3" xfId="30117"/>
    <cellStyle name="Normal 36 7 2 3 2 4" xfId="30118"/>
    <cellStyle name="Normal 36 7 2 3 3" xfId="30119"/>
    <cellStyle name="Normal 36 7 2 3 4" xfId="30120"/>
    <cellStyle name="Normal 36 7 2 3 5" xfId="30121"/>
    <cellStyle name="Normal 36 7 2 4" xfId="30122"/>
    <cellStyle name="Normal 36 7 2 4 2" xfId="30123"/>
    <cellStyle name="Normal 36 7 2 4 3" xfId="30124"/>
    <cellStyle name="Normal 36 7 2 4 4" xfId="30125"/>
    <cellStyle name="Normal 36 7 2 5" xfId="30126"/>
    <cellStyle name="Normal 36 7 2 6" xfId="30127"/>
    <cellStyle name="Normal 36 7 2 7" xfId="30128"/>
    <cellStyle name="Normal 36 7 3" xfId="2739"/>
    <cellStyle name="Normal 36 7 3 2" xfId="30129"/>
    <cellStyle name="Normal 36 7 3 2 2" xfId="30130"/>
    <cellStyle name="Normal 36 7 3 2 3" xfId="30131"/>
    <cellStyle name="Normal 36 7 3 2 4" xfId="30132"/>
    <cellStyle name="Normal 36 7 3 3" xfId="30133"/>
    <cellStyle name="Normal 36 7 3 4" xfId="30134"/>
    <cellStyle name="Normal 36 7 3 5" xfId="30135"/>
    <cellStyle name="Normal 36 7 4" xfId="2740"/>
    <cellStyle name="Normal 36 7 4 2" xfId="30136"/>
    <cellStyle name="Normal 36 7 4 2 2" xfId="30137"/>
    <cellStyle name="Normal 36 7 4 2 3" xfId="30138"/>
    <cellStyle name="Normal 36 7 4 2 4" xfId="30139"/>
    <cellStyle name="Normal 36 7 4 3" xfId="30140"/>
    <cellStyle name="Normal 36 7 4 4" xfId="30141"/>
    <cellStyle name="Normal 36 7 4 5" xfId="30142"/>
    <cellStyle name="Normal 36 7 5" xfId="30143"/>
    <cellStyle name="Normal 36 7 5 2" xfId="30144"/>
    <cellStyle name="Normal 36 7 5 3" xfId="30145"/>
    <cellStyle name="Normal 36 7 5 4" xfId="30146"/>
    <cellStyle name="Normal 36 7 6" xfId="30147"/>
    <cellStyle name="Normal 36 7 7" xfId="30148"/>
    <cellStyle name="Normal 36 7 8" xfId="30149"/>
    <cellStyle name="Normal 36 8" xfId="2741"/>
    <cellStyle name="Normal 36 8 2" xfId="2742"/>
    <cellStyle name="Normal 36 8 2 2" xfId="30150"/>
    <cellStyle name="Normal 36 8 2 2 2" xfId="30151"/>
    <cellStyle name="Normal 36 8 2 2 3" xfId="30152"/>
    <cellStyle name="Normal 36 8 2 2 4" xfId="30153"/>
    <cellStyle name="Normal 36 8 2 3" xfId="30154"/>
    <cellStyle name="Normal 36 8 2 4" xfId="30155"/>
    <cellStyle name="Normal 36 8 2 5" xfId="30156"/>
    <cellStyle name="Normal 36 8 3" xfId="2743"/>
    <cellStyle name="Normal 36 8 3 2" xfId="30157"/>
    <cellStyle name="Normal 36 8 3 2 2" xfId="30158"/>
    <cellStyle name="Normal 36 8 3 2 3" xfId="30159"/>
    <cellStyle name="Normal 36 8 3 2 4" xfId="30160"/>
    <cellStyle name="Normal 36 8 3 3" xfId="30161"/>
    <cellStyle name="Normal 36 8 3 4" xfId="30162"/>
    <cellStyle name="Normal 36 8 3 5" xfId="30163"/>
    <cellStyle name="Normal 36 8 4" xfId="30164"/>
    <cellStyle name="Normal 36 8 4 2" xfId="30165"/>
    <cellStyle name="Normal 36 8 4 3" xfId="30166"/>
    <cellStyle name="Normal 36 8 4 4" xfId="30167"/>
    <cellStyle name="Normal 36 8 5" xfId="30168"/>
    <cellStyle name="Normal 36 8 6" xfId="30169"/>
    <cellStyle name="Normal 36 8 7" xfId="30170"/>
    <cellStyle name="Normal 36 9" xfId="2744"/>
    <cellStyle name="Normal 36 9 2" xfId="30171"/>
    <cellStyle name="Normal 36 9 2 2" xfId="30172"/>
    <cellStyle name="Normal 36 9 2 3" xfId="30173"/>
    <cellStyle name="Normal 36 9 2 4" xfId="30174"/>
    <cellStyle name="Normal 36 9 3" xfId="30175"/>
    <cellStyle name="Normal 36 9 4" xfId="30176"/>
    <cellStyle name="Normal 36 9 5" xfId="30177"/>
    <cellStyle name="Normal 37" xfId="2745"/>
    <cellStyle name="Normal 37 10" xfId="2746"/>
    <cellStyle name="Normal 37 10 2" xfId="30178"/>
    <cellStyle name="Normal 37 10 2 2" xfId="30179"/>
    <cellStyle name="Normal 37 10 2 3" xfId="30180"/>
    <cellStyle name="Normal 37 10 2 4" xfId="30181"/>
    <cellStyle name="Normal 37 10 3" xfId="30182"/>
    <cellStyle name="Normal 37 10 4" xfId="30183"/>
    <cellStyle name="Normal 37 10 5" xfId="30184"/>
    <cellStyle name="Normal 37 11" xfId="30185"/>
    <cellStyle name="Normal 37 11 2" xfId="30186"/>
    <cellStyle name="Normal 37 11 3" xfId="30187"/>
    <cellStyle name="Normal 37 11 4" xfId="30188"/>
    <cellStyle name="Normal 37 12" xfId="30189"/>
    <cellStyle name="Normal 37 13" xfId="30190"/>
    <cellStyle name="Normal 37 14" xfId="30191"/>
    <cellStyle name="Normal 37 2" xfId="2747"/>
    <cellStyle name="Normal 37 2 2" xfId="2748"/>
    <cellStyle name="Normal 37 2 2 2" xfId="2749"/>
    <cellStyle name="Normal 37 2 2 2 2" xfId="2750"/>
    <cellStyle name="Normal 37 2 2 2 2 2" xfId="30192"/>
    <cellStyle name="Normal 37 2 2 2 2 2 2" xfId="30193"/>
    <cellStyle name="Normal 37 2 2 2 2 2 3" xfId="30194"/>
    <cellStyle name="Normal 37 2 2 2 2 2 4" xfId="30195"/>
    <cellStyle name="Normal 37 2 2 2 2 3" xfId="30196"/>
    <cellStyle name="Normal 37 2 2 2 2 4" xfId="30197"/>
    <cellStyle name="Normal 37 2 2 2 2 5" xfId="30198"/>
    <cellStyle name="Normal 37 2 2 2 3" xfId="2751"/>
    <cellStyle name="Normal 37 2 2 2 3 2" xfId="30199"/>
    <cellStyle name="Normal 37 2 2 2 3 2 2" xfId="30200"/>
    <cellStyle name="Normal 37 2 2 2 3 2 3" xfId="30201"/>
    <cellStyle name="Normal 37 2 2 2 3 2 4" xfId="30202"/>
    <cellStyle name="Normal 37 2 2 2 3 3" xfId="30203"/>
    <cellStyle name="Normal 37 2 2 2 3 4" xfId="30204"/>
    <cellStyle name="Normal 37 2 2 2 3 5" xfId="30205"/>
    <cellStyle name="Normal 37 2 2 2 4" xfId="30206"/>
    <cellStyle name="Normal 37 2 2 2 4 2" xfId="30207"/>
    <cellStyle name="Normal 37 2 2 2 4 3" xfId="30208"/>
    <cellStyle name="Normal 37 2 2 2 4 4" xfId="30209"/>
    <cellStyle name="Normal 37 2 2 2 5" xfId="30210"/>
    <cellStyle name="Normal 37 2 2 2 6" xfId="30211"/>
    <cellStyle name="Normal 37 2 2 2 7" xfId="30212"/>
    <cellStyle name="Normal 37 2 2 3" xfId="2752"/>
    <cellStyle name="Normal 37 2 2 3 2" xfId="30213"/>
    <cellStyle name="Normal 37 2 2 3 2 2" xfId="30214"/>
    <cellStyle name="Normal 37 2 2 3 2 3" xfId="30215"/>
    <cellStyle name="Normal 37 2 2 3 2 4" xfId="30216"/>
    <cellStyle name="Normal 37 2 2 3 3" xfId="30217"/>
    <cellStyle name="Normal 37 2 2 3 4" xfId="30218"/>
    <cellStyle name="Normal 37 2 2 3 5" xfId="30219"/>
    <cellStyle name="Normal 37 2 2 4" xfId="2753"/>
    <cellStyle name="Normal 37 2 2 4 2" xfId="30220"/>
    <cellStyle name="Normal 37 2 2 4 2 2" xfId="30221"/>
    <cellStyle name="Normal 37 2 2 4 2 3" xfId="30222"/>
    <cellStyle name="Normal 37 2 2 4 2 4" xfId="30223"/>
    <cellStyle name="Normal 37 2 2 4 3" xfId="30224"/>
    <cellStyle name="Normal 37 2 2 4 4" xfId="30225"/>
    <cellStyle name="Normal 37 2 2 4 5" xfId="30226"/>
    <cellStyle name="Normal 37 2 2 5" xfId="30227"/>
    <cellStyle name="Normal 37 2 2 5 2" xfId="30228"/>
    <cellStyle name="Normal 37 2 2 5 3" xfId="30229"/>
    <cellStyle name="Normal 37 2 2 5 4" xfId="30230"/>
    <cellStyle name="Normal 37 2 2 6" xfId="30231"/>
    <cellStyle name="Normal 37 2 2 7" xfId="30232"/>
    <cellStyle name="Normal 37 2 2 8" xfId="30233"/>
    <cellStyle name="Normal 37 2 3" xfId="2754"/>
    <cellStyle name="Normal 37 2 3 2" xfId="2755"/>
    <cellStyle name="Normal 37 2 3 2 2" xfId="30234"/>
    <cellStyle name="Normal 37 2 3 2 2 2" xfId="30235"/>
    <cellStyle name="Normal 37 2 3 2 2 3" xfId="30236"/>
    <cellStyle name="Normal 37 2 3 2 2 4" xfId="30237"/>
    <cellStyle name="Normal 37 2 3 2 3" xfId="30238"/>
    <cellStyle name="Normal 37 2 3 2 4" xfId="30239"/>
    <cellStyle name="Normal 37 2 3 2 5" xfId="30240"/>
    <cellStyle name="Normal 37 2 3 3" xfId="2756"/>
    <cellStyle name="Normal 37 2 3 3 2" xfId="30241"/>
    <cellStyle name="Normal 37 2 3 3 2 2" xfId="30242"/>
    <cellStyle name="Normal 37 2 3 3 2 3" xfId="30243"/>
    <cellStyle name="Normal 37 2 3 3 2 4" xfId="30244"/>
    <cellStyle name="Normal 37 2 3 3 3" xfId="30245"/>
    <cellStyle name="Normal 37 2 3 3 4" xfId="30246"/>
    <cellStyle name="Normal 37 2 3 3 5" xfId="30247"/>
    <cellStyle name="Normal 37 2 3 4" xfId="30248"/>
    <cellStyle name="Normal 37 2 3 4 2" xfId="30249"/>
    <cellStyle name="Normal 37 2 3 4 3" xfId="30250"/>
    <cellStyle name="Normal 37 2 3 4 4" xfId="30251"/>
    <cellStyle name="Normal 37 2 3 5" xfId="30252"/>
    <cellStyle name="Normal 37 2 3 6" xfId="30253"/>
    <cellStyle name="Normal 37 2 3 7" xfId="30254"/>
    <cellStyle name="Normal 37 2 4" xfId="2757"/>
    <cellStyle name="Normal 37 2 4 2" xfId="30255"/>
    <cellStyle name="Normal 37 2 4 2 2" xfId="30256"/>
    <cellStyle name="Normal 37 2 4 2 3" xfId="30257"/>
    <cellStyle name="Normal 37 2 4 2 4" xfId="30258"/>
    <cellStyle name="Normal 37 2 4 3" xfId="30259"/>
    <cellStyle name="Normal 37 2 4 4" xfId="30260"/>
    <cellStyle name="Normal 37 2 4 5" xfId="30261"/>
    <cellStyle name="Normal 37 2 5" xfId="2758"/>
    <cellStyle name="Normal 37 2 5 2" xfId="30262"/>
    <cellStyle name="Normal 37 2 5 2 2" xfId="30263"/>
    <cellStyle name="Normal 37 2 5 2 3" xfId="30264"/>
    <cellStyle name="Normal 37 2 5 2 4" xfId="30265"/>
    <cellStyle name="Normal 37 2 5 3" xfId="30266"/>
    <cellStyle name="Normal 37 2 5 4" xfId="30267"/>
    <cellStyle name="Normal 37 2 5 5" xfId="30268"/>
    <cellStyle name="Normal 37 2 6" xfId="30269"/>
    <cellStyle name="Normal 37 2 6 2" xfId="30270"/>
    <cellStyle name="Normal 37 2 6 3" xfId="30271"/>
    <cellStyle name="Normal 37 2 6 4" xfId="30272"/>
    <cellStyle name="Normal 37 2 7" xfId="30273"/>
    <cellStyle name="Normal 37 2 8" xfId="30274"/>
    <cellStyle name="Normal 37 2 9" xfId="30275"/>
    <cellStyle name="Normal 37 3" xfId="2759"/>
    <cellStyle name="Normal 37 3 2" xfId="2760"/>
    <cellStyle name="Normal 37 3 2 2" xfId="2761"/>
    <cellStyle name="Normal 37 3 2 2 2" xfId="2762"/>
    <cellStyle name="Normal 37 3 2 2 2 2" xfId="30276"/>
    <cellStyle name="Normal 37 3 2 2 2 2 2" xfId="30277"/>
    <cellStyle name="Normal 37 3 2 2 2 2 3" xfId="30278"/>
    <cellStyle name="Normal 37 3 2 2 2 2 4" xfId="30279"/>
    <cellStyle name="Normal 37 3 2 2 2 3" xfId="30280"/>
    <cellStyle name="Normal 37 3 2 2 2 4" xfId="30281"/>
    <cellStyle name="Normal 37 3 2 2 2 5" xfId="30282"/>
    <cellStyle name="Normal 37 3 2 2 3" xfId="2763"/>
    <cellStyle name="Normal 37 3 2 2 3 2" xfId="30283"/>
    <cellStyle name="Normal 37 3 2 2 3 2 2" xfId="30284"/>
    <cellStyle name="Normal 37 3 2 2 3 2 3" xfId="30285"/>
    <cellStyle name="Normal 37 3 2 2 3 2 4" xfId="30286"/>
    <cellStyle name="Normal 37 3 2 2 3 3" xfId="30287"/>
    <cellStyle name="Normal 37 3 2 2 3 4" xfId="30288"/>
    <cellStyle name="Normal 37 3 2 2 3 5" xfId="30289"/>
    <cellStyle name="Normal 37 3 2 2 4" xfId="30290"/>
    <cellStyle name="Normal 37 3 2 2 4 2" xfId="30291"/>
    <cellStyle name="Normal 37 3 2 2 4 3" xfId="30292"/>
    <cellStyle name="Normal 37 3 2 2 4 4" xfId="30293"/>
    <cellStyle name="Normal 37 3 2 2 5" xfId="30294"/>
    <cellStyle name="Normal 37 3 2 2 6" xfId="30295"/>
    <cellStyle name="Normal 37 3 2 2 7" xfId="30296"/>
    <cellStyle name="Normal 37 3 2 3" xfId="2764"/>
    <cellStyle name="Normal 37 3 2 3 2" xfId="30297"/>
    <cellStyle name="Normal 37 3 2 3 2 2" xfId="30298"/>
    <cellStyle name="Normal 37 3 2 3 2 3" xfId="30299"/>
    <cellStyle name="Normal 37 3 2 3 2 4" xfId="30300"/>
    <cellStyle name="Normal 37 3 2 3 3" xfId="30301"/>
    <cellStyle name="Normal 37 3 2 3 4" xfId="30302"/>
    <cellStyle name="Normal 37 3 2 3 5" xfId="30303"/>
    <cellStyle name="Normal 37 3 2 4" xfId="2765"/>
    <cellStyle name="Normal 37 3 2 4 2" xfId="30304"/>
    <cellStyle name="Normal 37 3 2 4 2 2" xfId="30305"/>
    <cellStyle name="Normal 37 3 2 4 2 3" xfId="30306"/>
    <cellStyle name="Normal 37 3 2 4 2 4" xfId="30307"/>
    <cellStyle name="Normal 37 3 2 4 3" xfId="30308"/>
    <cellStyle name="Normal 37 3 2 4 4" xfId="30309"/>
    <cellStyle name="Normal 37 3 2 4 5" xfId="30310"/>
    <cellStyle name="Normal 37 3 2 5" xfId="30311"/>
    <cellStyle name="Normal 37 3 2 5 2" xfId="30312"/>
    <cellStyle name="Normal 37 3 2 5 3" xfId="30313"/>
    <cellStyle name="Normal 37 3 2 5 4" xfId="30314"/>
    <cellStyle name="Normal 37 3 2 6" xfId="30315"/>
    <cellStyle name="Normal 37 3 2 7" xfId="30316"/>
    <cellStyle name="Normal 37 3 2 8" xfId="30317"/>
    <cellStyle name="Normal 37 3 3" xfId="2766"/>
    <cellStyle name="Normal 37 3 3 2" xfId="2767"/>
    <cellStyle name="Normal 37 3 3 2 2" xfId="30318"/>
    <cellStyle name="Normal 37 3 3 2 2 2" xfId="30319"/>
    <cellStyle name="Normal 37 3 3 2 2 3" xfId="30320"/>
    <cellStyle name="Normal 37 3 3 2 2 4" xfId="30321"/>
    <cellStyle name="Normal 37 3 3 2 3" xfId="30322"/>
    <cellStyle name="Normal 37 3 3 2 4" xfId="30323"/>
    <cellStyle name="Normal 37 3 3 2 5" xfId="30324"/>
    <cellStyle name="Normal 37 3 3 3" xfId="2768"/>
    <cellStyle name="Normal 37 3 3 3 2" xfId="30325"/>
    <cellStyle name="Normal 37 3 3 3 2 2" xfId="30326"/>
    <cellStyle name="Normal 37 3 3 3 2 3" xfId="30327"/>
    <cellStyle name="Normal 37 3 3 3 2 4" xfId="30328"/>
    <cellStyle name="Normal 37 3 3 3 3" xfId="30329"/>
    <cellStyle name="Normal 37 3 3 3 4" xfId="30330"/>
    <cellStyle name="Normal 37 3 3 3 5" xfId="30331"/>
    <cellStyle name="Normal 37 3 3 4" xfId="30332"/>
    <cellStyle name="Normal 37 3 3 4 2" xfId="30333"/>
    <cellStyle name="Normal 37 3 3 4 3" xfId="30334"/>
    <cellStyle name="Normal 37 3 3 4 4" xfId="30335"/>
    <cellStyle name="Normal 37 3 3 5" xfId="30336"/>
    <cellStyle name="Normal 37 3 3 6" xfId="30337"/>
    <cellStyle name="Normal 37 3 3 7" xfId="30338"/>
    <cellStyle name="Normal 37 3 4" xfId="2769"/>
    <cellStyle name="Normal 37 3 4 2" xfId="30339"/>
    <cellStyle name="Normal 37 3 4 2 2" xfId="30340"/>
    <cellStyle name="Normal 37 3 4 2 3" xfId="30341"/>
    <cellStyle name="Normal 37 3 4 2 4" xfId="30342"/>
    <cellStyle name="Normal 37 3 4 3" xfId="30343"/>
    <cellStyle name="Normal 37 3 4 4" xfId="30344"/>
    <cellStyle name="Normal 37 3 4 5" xfId="30345"/>
    <cellStyle name="Normal 37 3 5" xfId="2770"/>
    <cellStyle name="Normal 37 3 5 2" xfId="30346"/>
    <cellStyle name="Normal 37 3 5 2 2" xfId="30347"/>
    <cellStyle name="Normal 37 3 5 2 3" xfId="30348"/>
    <cellStyle name="Normal 37 3 5 2 4" xfId="30349"/>
    <cellStyle name="Normal 37 3 5 3" xfId="30350"/>
    <cellStyle name="Normal 37 3 5 4" xfId="30351"/>
    <cellStyle name="Normal 37 3 5 5" xfId="30352"/>
    <cellStyle name="Normal 37 3 6" xfId="30353"/>
    <cellStyle name="Normal 37 3 6 2" xfId="30354"/>
    <cellStyle name="Normal 37 3 6 3" xfId="30355"/>
    <cellStyle name="Normal 37 3 6 4" xfId="30356"/>
    <cellStyle name="Normal 37 3 7" xfId="30357"/>
    <cellStyle name="Normal 37 3 8" xfId="30358"/>
    <cellStyle name="Normal 37 3 9" xfId="30359"/>
    <cellStyle name="Normal 37 4" xfId="2771"/>
    <cellStyle name="Normal 37 4 2" xfId="2772"/>
    <cellStyle name="Normal 37 4 2 2" xfId="2773"/>
    <cellStyle name="Normal 37 4 2 2 2" xfId="2774"/>
    <cellStyle name="Normal 37 4 2 2 2 2" xfId="30360"/>
    <cellStyle name="Normal 37 4 2 2 2 2 2" xfId="30361"/>
    <cellStyle name="Normal 37 4 2 2 2 2 3" xfId="30362"/>
    <cellStyle name="Normal 37 4 2 2 2 2 4" xfId="30363"/>
    <cellStyle name="Normal 37 4 2 2 2 3" xfId="30364"/>
    <cellStyle name="Normal 37 4 2 2 2 4" xfId="30365"/>
    <cellStyle name="Normal 37 4 2 2 2 5" xfId="30366"/>
    <cellStyle name="Normal 37 4 2 2 3" xfId="2775"/>
    <cellStyle name="Normal 37 4 2 2 3 2" xfId="30367"/>
    <cellStyle name="Normal 37 4 2 2 3 2 2" xfId="30368"/>
    <cellStyle name="Normal 37 4 2 2 3 2 3" xfId="30369"/>
    <cellStyle name="Normal 37 4 2 2 3 2 4" xfId="30370"/>
    <cellStyle name="Normal 37 4 2 2 3 3" xfId="30371"/>
    <cellStyle name="Normal 37 4 2 2 3 4" xfId="30372"/>
    <cellStyle name="Normal 37 4 2 2 3 5" xfId="30373"/>
    <cellStyle name="Normal 37 4 2 2 4" xfId="30374"/>
    <cellStyle name="Normal 37 4 2 2 4 2" xfId="30375"/>
    <cellStyle name="Normal 37 4 2 2 4 3" xfId="30376"/>
    <cellStyle name="Normal 37 4 2 2 4 4" xfId="30377"/>
    <cellStyle name="Normal 37 4 2 2 5" xfId="30378"/>
    <cellStyle name="Normal 37 4 2 2 6" xfId="30379"/>
    <cellStyle name="Normal 37 4 2 2 7" xfId="30380"/>
    <cellStyle name="Normal 37 4 2 3" xfId="2776"/>
    <cellStyle name="Normal 37 4 2 3 2" xfId="30381"/>
    <cellStyle name="Normal 37 4 2 3 2 2" xfId="30382"/>
    <cellStyle name="Normal 37 4 2 3 2 3" xfId="30383"/>
    <cellStyle name="Normal 37 4 2 3 2 4" xfId="30384"/>
    <cellStyle name="Normal 37 4 2 3 3" xfId="30385"/>
    <cellStyle name="Normal 37 4 2 3 4" xfId="30386"/>
    <cellStyle name="Normal 37 4 2 3 5" xfId="30387"/>
    <cellStyle name="Normal 37 4 2 4" xfId="2777"/>
    <cellStyle name="Normal 37 4 2 4 2" xfId="30388"/>
    <cellStyle name="Normal 37 4 2 4 2 2" xfId="30389"/>
    <cellStyle name="Normal 37 4 2 4 2 3" xfId="30390"/>
    <cellStyle name="Normal 37 4 2 4 2 4" xfId="30391"/>
    <cellStyle name="Normal 37 4 2 4 3" xfId="30392"/>
    <cellStyle name="Normal 37 4 2 4 4" xfId="30393"/>
    <cellStyle name="Normal 37 4 2 4 5" xfId="30394"/>
    <cellStyle name="Normal 37 4 2 5" xfId="30395"/>
    <cellStyle name="Normal 37 4 2 5 2" xfId="30396"/>
    <cellStyle name="Normal 37 4 2 5 3" xfId="30397"/>
    <cellStyle name="Normal 37 4 2 5 4" xfId="30398"/>
    <cellStyle name="Normal 37 4 2 6" xfId="30399"/>
    <cellStyle name="Normal 37 4 2 7" xfId="30400"/>
    <cellStyle name="Normal 37 4 2 8" xfId="30401"/>
    <cellStyle name="Normal 37 4 3" xfId="2778"/>
    <cellStyle name="Normal 37 4 3 2" xfId="2779"/>
    <cellStyle name="Normal 37 4 3 2 2" xfId="30402"/>
    <cellStyle name="Normal 37 4 3 2 2 2" xfId="30403"/>
    <cellStyle name="Normal 37 4 3 2 2 3" xfId="30404"/>
    <cellStyle name="Normal 37 4 3 2 2 4" xfId="30405"/>
    <cellStyle name="Normal 37 4 3 2 3" xfId="30406"/>
    <cellStyle name="Normal 37 4 3 2 4" xfId="30407"/>
    <cellStyle name="Normal 37 4 3 2 5" xfId="30408"/>
    <cellStyle name="Normal 37 4 3 3" xfId="2780"/>
    <cellStyle name="Normal 37 4 3 3 2" xfId="30409"/>
    <cellStyle name="Normal 37 4 3 3 2 2" xfId="30410"/>
    <cellStyle name="Normal 37 4 3 3 2 3" xfId="30411"/>
    <cellStyle name="Normal 37 4 3 3 2 4" xfId="30412"/>
    <cellStyle name="Normal 37 4 3 3 3" xfId="30413"/>
    <cellStyle name="Normal 37 4 3 3 4" xfId="30414"/>
    <cellStyle name="Normal 37 4 3 3 5" xfId="30415"/>
    <cellStyle name="Normal 37 4 3 4" xfId="30416"/>
    <cellStyle name="Normal 37 4 3 4 2" xfId="30417"/>
    <cellStyle name="Normal 37 4 3 4 3" xfId="30418"/>
    <cellStyle name="Normal 37 4 3 4 4" xfId="30419"/>
    <cellStyle name="Normal 37 4 3 5" xfId="30420"/>
    <cellStyle name="Normal 37 4 3 6" xfId="30421"/>
    <cellStyle name="Normal 37 4 3 7" xfId="30422"/>
    <cellStyle name="Normal 37 4 4" xfId="2781"/>
    <cellStyle name="Normal 37 4 4 2" xfId="30423"/>
    <cellStyle name="Normal 37 4 4 2 2" xfId="30424"/>
    <cellStyle name="Normal 37 4 4 2 3" xfId="30425"/>
    <cellStyle name="Normal 37 4 4 2 4" xfId="30426"/>
    <cellStyle name="Normal 37 4 4 3" xfId="30427"/>
    <cellStyle name="Normal 37 4 4 4" xfId="30428"/>
    <cellStyle name="Normal 37 4 4 5" xfId="30429"/>
    <cellStyle name="Normal 37 4 5" xfId="2782"/>
    <cellStyle name="Normal 37 4 5 2" xfId="30430"/>
    <cellStyle name="Normal 37 4 5 2 2" xfId="30431"/>
    <cellStyle name="Normal 37 4 5 2 3" xfId="30432"/>
    <cellStyle name="Normal 37 4 5 2 4" xfId="30433"/>
    <cellStyle name="Normal 37 4 5 3" xfId="30434"/>
    <cellStyle name="Normal 37 4 5 4" xfId="30435"/>
    <cellStyle name="Normal 37 4 5 5" xfId="30436"/>
    <cellStyle name="Normal 37 4 6" xfId="30437"/>
    <cellStyle name="Normal 37 4 6 2" xfId="30438"/>
    <cellStyle name="Normal 37 4 6 3" xfId="30439"/>
    <cellStyle name="Normal 37 4 6 4" xfId="30440"/>
    <cellStyle name="Normal 37 4 7" xfId="30441"/>
    <cellStyle name="Normal 37 4 8" xfId="30442"/>
    <cellStyle name="Normal 37 4 9" xfId="30443"/>
    <cellStyle name="Normal 37 5" xfId="2783"/>
    <cellStyle name="Normal 37 5 2" xfId="2784"/>
    <cellStyle name="Normal 37 5 2 2" xfId="2785"/>
    <cellStyle name="Normal 37 5 2 2 2" xfId="2786"/>
    <cellStyle name="Normal 37 5 2 2 2 2" xfId="30444"/>
    <cellStyle name="Normal 37 5 2 2 2 2 2" xfId="30445"/>
    <cellStyle name="Normal 37 5 2 2 2 2 3" xfId="30446"/>
    <cellStyle name="Normal 37 5 2 2 2 2 4" xfId="30447"/>
    <cellStyle name="Normal 37 5 2 2 2 3" xfId="30448"/>
    <cellStyle name="Normal 37 5 2 2 2 4" xfId="30449"/>
    <cellStyle name="Normal 37 5 2 2 2 5" xfId="30450"/>
    <cellStyle name="Normal 37 5 2 2 3" xfId="2787"/>
    <cellStyle name="Normal 37 5 2 2 3 2" xfId="30451"/>
    <cellStyle name="Normal 37 5 2 2 3 2 2" xfId="30452"/>
    <cellStyle name="Normal 37 5 2 2 3 2 3" xfId="30453"/>
    <cellStyle name="Normal 37 5 2 2 3 2 4" xfId="30454"/>
    <cellStyle name="Normal 37 5 2 2 3 3" xfId="30455"/>
    <cellStyle name="Normal 37 5 2 2 3 4" xfId="30456"/>
    <cellStyle name="Normal 37 5 2 2 3 5" xfId="30457"/>
    <cellStyle name="Normal 37 5 2 2 4" xfId="30458"/>
    <cellStyle name="Normal 37 5 2 2 4 2" xfId="30459"/>
    <cellStyle name="Normal 37 5 2 2 4 3" xfId="30460"/>
    <cellStyle name="Normal 37 5 2 2 4 4" xfId="30461"/>
    <cellStyle name="Normal 37 5 2 2 5" xfId="30462"/>
    <cellStyle name="Normal 37 5 2 2 6" xfId="30463"/>
    <cellStyle name="Normal 37 5 2 2 7" xfId="30464"/>
    <cellStyle name="Normal 37 5 2 3" xfId="2788"/>
    <cellStyle name="Normal 37 5 2 3 2" xfId="30465"/>
    <cellStyle name="Normal 37 5 2 3 2 2" xfId="30466"/>
    <cellStyle name="Normal 37 5 2 3 2 3" xfId="30467"/>
    <cellStyle name="Normal 37 5 2 3 2 4" xfId="30468"/>
    <cellStyle name="Normal 37 5 2 3 3" xfId="30469"/>
    <cellStyle name="Normal 37 5 2 3 4" xfId="30470"/>
    <cellStyle name="Normal 37 5 2 3 5" xfId="30471"/>
    <cellStyle name="Normal 37 5 2 4" xfId="2789"/>
    <cellStyle name="Normal 37 5 2 4 2" xfId="30472"/>
    <cellStyle name="Normal 37 5 2 4 2 2" xfId="30473"/>
    <cellStyle name="Normal 37 5 2 4 2 3" xfId="30474"/>
    <cellStyle name="Normal 37 5 2 4 2 4" xfId="30475"/>
    <cellStyle name="Normal 37 5 2 4 3" xfId="30476"/>
    <cellStyle name="Normal 37 5 2 4 4" xfId="30477"/>
    <cellStyle name="Normal 37 5 2 4 5" xfId="30478"/>
    <cellStyle name="Normal 37 5 2 5" xfId="30479"/>
    <cellStyle name="Normal 37 5 2 5 2" xfId="30480"/>
    <cellStyle name="Normal 37 5 2 5 3" xfId="30481"/>
    <cellStyle name="Normal 37 5 2 5 4" xfId="30482"/>
    <cellStyle name="Normal 37 5 2 6" xfId="30483"/>
    <cellStyle name="Normal 37 5 2 7" xfId="30484"/>
    <cellStyle name="Normal 37 5 2 8" xfId="30485"/>
    <cellStyle name="Normal 37 5 3" xfId="2790"/>
    <cellStyle name="Normal 37 5 3 2" xfId="2791"/>
    <cellStyle name="Normal 37 5 3 2 2" xfId="30486"/>
    <cellStyle name="Normal 37 5 3 2 2 2" xfId="30487"/>
    <cellStyle name="Normal 37 5 3 2 2 3" xfId="30488"/>
    <cellStyle name="Normal 37 5 3 2 2 4" xfId="30489"/>
    <cellStyle name="Normal 37 5 3 2 3" xfId="30490"/>
    <cellStyle name="Normal 37 5 3 2 4" xfId="30491"/>
    <cellStyle name="Normal 37 5 3 2 5" xfId="30492"/>
    <cellStyle name="Normal 37 5 3 3" xfId="2792"/>
    <cellStyle name="Normal 37 5 3 3 2" xfId="30493"/>
    <cellStyle name="Normal 37 5 3 3 2 2" xfId="30494"/>
    <cellStyle name="Normal 37 5 3 3 2 3" xfId="30495"/>
    <cellStyle name="Normal 37 5 3 3 2 4" xfId="30496"/>
    <cellStyle name="Normal 37 5 3 3 3" xfId="30497"/>
    <cellStyle name="Normal 37 5 3 3 4" xfId="30498"/>
    <cellStyle name="Normal 37 5 3 3 5" xfId="30499"/>
    <cellStyle name="Normal 37 5 3 4" xfId="30500"/>
    <cellStyle name="Normal 37 5 3 4 2" xfId="30501"/>
    <cellStyle name="Normal 37 5 3 4 3" xfId="30502"/>
    <cellStyle name="Normal 37 5 3 4 4" xfId="30503"/>
    <cellStyle name="Normal 37 5 3 5" xfId="30504"/>
    <cellStyle name="Normal 37 5 3 6" xfId="30505"/>
    <cellStyle name="Normal 37 5 3 7" xfId="30506"/>
    <cellStyle name="Normal 37 5 4" xfId="2793"/>
    <cellStyle name="Normal 37 5 4 2" xfId="30507"/>
    <cellStyle name="Normal 37 5 4 2 2" xfId="30508"/>
    <cellStyle name="Normal 37 5 4 2 3" xfId="30509"/>
    <cellStyle name="Normal 37 5 4 2 4" xfId="30510"/>
    <cellStyle name="Normal 37 5 4 3" xfId="30511"/>
    <cellStyle name="Normal 37 5 4 4" xfId="30512"/>
    <cellStyle name="Normal 37 5 4 5" xfId="30513"/>
    <cellStyle name="Normal 37 5 5" xfId="2794"/>
    <cellStyle name="Normal 37 5 5 2" xfId="30514"/>
    <cellStyle name="Normal 37 5 5 2 2" xfId="30515"/>
    <cellStyle name="Normal 37 5 5 2 3" xfId="30516"/>
    <cellStyle name="Normal 37 5 5 2 4" xfId="30517"/>
    <cellStyle name="Normal 37 5 5 3" xfId="30518"/>
    <cellStyle name="Normal 37 5 5 4" xfId="30519"/>
    <cellStyle name="Normal 37 5 5 5" xfId="30520"/>
    <cellStyle name="Normal 37 5 6" xfId="30521"/>
    <cellStyle name="Normal 37 5 6 2" xfId="30522"/>
    <cellStyle name="Normal 37 5 6 3" xfId="30523"/>
    <cellStyle name="Normal 37 5 6 4" xfId="30524"/>
    <cellStyle name="Normal 37 5 7" xfId="30525"/>
    <cellStyle name="Normal 37 5 8" xfId="30526"/>
    <cellStyle name="Normal 37 5 9" xfId="30527"/>
    <cellStyle name="Normal 37 6" xfId="2795"/>
    <cellStyle name="Normal 37 6 2" xfId="2796"/>
    <cellStyle name="Normal 37 6 2 2" xfId="2797"/>
    <cellStyle name="Normal 37 6 2 2 2" xfId="2798"/>
    <cellStyle name="Normal 37 6 2 2 2 2" xfId="30528"/>
    <cellStyle name="Normal 37 6 2 2 2 2 2" xfId="30529"/>
    <cellStyle name="Normal 37 6 2 2 2 2 3" xfId="30530"/>
    <cellStyle name="Normal 37 6 2 2 2 2 4" xfId="30531"/>
    <cellStyle name="Normal 37 6 2 2 2 3" xfId="30532"/>
    <cellStyle name="Normal 37 6 2 2 2 4" xfId="30533"/>
    <cellStyle name="Normal 37 6 2 2 2 5" xfId="30534"/>
    <cellStyle name="Normal 37 6 2 2 3" xfId="2799"/>
    <cellStyle name="Normal 37 6 2 2 3 2" xfId="30535"/>
    <cellStyle name="Normal 37 6 2 2 3 2 2" xfId="30536"/>
    <cellStyle name="Normal 37 6 2 2 3 2 3" xfId="30537"/>
    <cellStyle name="Normal 37 6 2 2 3 2 4" xfId="30538"/>
    <cellStyle name="Normal 37 6 2 2 3 3" xfId="30539"/>
    <cellStyle name="Normal 37 6 2 2 3 4" xfId="30540"/>
    <cellStyle name="Normal 37 6 2 2 3 5" xfId="30541"/>
    <cellStyle name="Normal 37 6 2 2 4" xfId="30542"/>
    <cellStyle name="Normal 37 6 2 2 4 2" xfId="30543"/>
    <cellStyle name="Normal 37 6 2 2 4 3" xfId="30544"/>
    <cellStyle name="Normal 37 6 2 2 4 4" xfId="30545"/>
    <cellStyle name="Normal 37 6 2 2 5" xfId="30546"/>
    <cellStyle name="Normal 37 6 2 2 6" xfId="30547"/>
    <cellStyle name="Normal 37 6 2 2 7" xfId="30548"/>
    <cellStyle name="Normal 37 6 2 3" xfId="2800"/>
    <cellStyle name="Normal 37 6 2 3 2" xfId="30549"/>
    <cellStyle name="Normal 37 6 2 3 2 2" xfId="30550"/>
    <cellStyle name="Normal 37 6 2 3 2 3" xfId="30551"/>
    <cellStyle name="Normal 37 6 2 3 2 4" xfId="30552"/>
    <cellStyle name="Normal 37 6 2 3 3" xfId="30553"/>
    <cellStyle name="Normal 37 6 2 3 4" xfId="30554"/>
    <cellStyle name="Normal 37 6 2 3 5" xfId="30555"/>
    <cellStyle name="Normal 37 6 2 4" xfId="2801"/>
    <cellStyle name="Normal 37 6 2 4 2" xfId="30556"/>
    <cellStyle name="Normal 37 6 2 4 2 2" xfId="30557"/>
    <cellStyle name="Normal 37 6 2 4 2 3" xfId="30558"/>
    <cellStyle name="Normal 37 6 2 4 2 4" xfId="30559"/>
    <cellStyle name="Normal 37 6 2 4 3" xfId="30560"/>
    <cellStyle name="Normal 37 6 2 4 4" xfId="30561"/>
    <cellStyle name="Normal 37 6 2 4 5" xfId="30562"/>
    <cellStyle name="Normal 37 6 2 5" xfId="30563"/>
    <cellStyle name="Normal 37 6 2 5 2" xfId="30564"/>
    <cellStyle name="Normal 37 6 2 5 3" xfId="30565"/>
    <cellStyle name="Normal 37 6 2 5 4" xfId="30566"/>
    <cellStyle name="Normal 37 6 2 6" xfId="30567"/>
    <cellStyle name="Normal 37 6 2 7" xfId="30568"/>
    <cellStyle name="Normal 37 6 2 8" xfId="30569"/>
    <cellStyle name="Normal 37 6 3" xfId="2802"/>
    <cellStyle name="Normal 37 6 3 2" xfId="2803"/>
    <cellStyle name="Normal 37 6 3 2 2" xfId="30570"/>
    <cellStyle name="Normal 37 6 3 2 2 2" xfId="30571"/>
    <cellStyle name="Normal 37 6 3 2 2 3" xfId="30572"/>
    <cellStyle name="Normal 37 6 3 2 2 4" xfId="30573"/>
    <cellStyle name="Normal 37 6 3 2 3" xfId="30574"/>
    <cellStyle name="Normal 37 6 3 2 4" xfId="30575"/>
    <cellStyle name="Normal 37 6 3 2 5" xfId="30576"/>
    <cellStyle name="Normal 37 6 3 3" xfId="2804"/>
    <cellStyle name="Normal 37 6 3 3 2" xfId="30577"/>
    <cellStyle name="Normal 37 6 3 3 2 2" xfId="30578"/>
    <cellStyle name="Normal 37 6 3 3 2 3" xfId="30579"/>
    <cellStyle name="Normal 37 6 3 3 2 4" xfId="30580"/>
    <cellStyle name="Normal 37 6 3 3 3" xfId="30581"/>
    <cellStyle name="Normal 37 6 3 3 4" xfId="30582"/>
    <cellStyle name="Normal 37 6 3 3 5" xfId="30583"/>
    <cellStyle name="Normal 37 6 3 4" xfId="30584"/>
    <cellStyle name="Normal 37 6 3 4 2" xfId="30585"/>
    <cellStyle name="Normal 37 6 3 4 3" xfId="30586"/>
    <cellStyle name="Normal 37 6 3 4 4" xfId="30587"/>
    <cellStyle name="Normal 37 6 3 5" xfId="30588"/>
    <cellStyle name="Normal 37 6 3 6" xfId="30589"/>
    <cellStyle name="Normal 37 6 3 7" xfId="30590"/>
    <cellStyle name="Normal 37 6 4" xfId="2805"/>
    <cellStyle name="Normal 37 6 4 2" xfId="30591"/>
    <cellStyle name="Normal 37 6 4 2 2" xfId="30592"/>
    <cellStyle name="Normal 37 6 4 2 3" xfId="30593"/>
    <cellStyle name="Normal 37 6 4 2 4" xfId="30594"/>
    <cellStyle name="Normal 37 6 4 3" xfId="30595"/>
    <cellStyle name="Normal 37 6 4 4" xfId="30596"/>
    <cellStyle name="Normal 37 6 4 5" xfId="30597"/>
    <cellStyle name="Normal 37 6 5" xfId="2806"/>
    <cellStyle name="Normal 37 6 5 2" xfId="30598"/>
    <cellStyle name="Normal 37 6 5 2 2" xfId="30599"/>
    <cellStyle name="Normal 37 6 5 2 3" xfId="30600"/>
    <cellStyle name="Normal 37 6 5 2 4" xfId="30601"/>
    <cellStyle name="Normal 37 6 5 3" xfId="30602"/>
    <cellStyle name="Normal 37 6 5 4" xfId="30603"/>
    <cellStyle name="Normal 37 6 5 5" xfId="30604"/>
    <cellStyle name="Normal 37 6 6" xfId="30605"/>
    <cellStyle name="Normal 37 6 6 2" xfId="30606"/>
    <cellStyle name="Normal 37 6 6 3" xfId="30607"/>
    <cellStyle name="Normal 37 6 6 4" xfId="30608"/>
    <cellStyle name="Normal 37 6 7" xfId="30609"/>
    <cellStyle name="Normal 37 6 8" xfId="30610"/>
    <cellStyle name="Normal 37 6 9" xfId="30611"/>
    <cellStyle name="Normal 37 7" xfId="2807"/>
    <cellStyle name="Normal 37 7 2" xfId="2808"/>
    <cellStyle name="Normal 37 7 2 2" xfId="2809"/>
    <cellStyle name="Normal 37 7 2 2 2" xfId="30612"/>
    <cellStyle name="Normal 37 7 2 2 2 2" xfId="30613"/>
    <cellStyle name="Normal 37 7 2 2 2 3" xfId="30614"/>
    <cellStyle name="Normal 37 7 2 2 2 4" xfId="30615"/>
    <cellStyle name="Normal 37 7 2 2 3" xfId="30616"/>
    <cellStyle name="Normal 37 7 2 2 4" xfId="30617"/>
    <cellStyle name="Normal 37 7 2 2 5" xfId="30618"/>
    <cellStyle name="Normal 37 7 2 3" xfId="2810"/>
    <cellStyle name="Normal 37 7 2 3 2" xfId="30619"/>
    <cellStyle name="Normal 37 7 2 3 2 2" xfId="30620"/>
    <cellStyle name="Normal 37 7 2 3 2 3" xfId="30621"/>
    <cellStyle name="Normal 37 7 2 3 2 4" xfId="30622"/>
    <cellStyle name="Normal 37 7 2 3 3" xfId="30623"/>
    <cellStyle name="Normal 37 7 2 3 4" xfId="30624"/>
    <cellStyle name="Normal 37 7 2 3 5" xfId="30625"/>
    <cellStyle name="Normal 37 7 2 4" xfId="30626"/>
    <cellStyle name="Normal 37 7 2 4 2" xfId="30627"/>
    <cellStyle name="Normal 37 7 2 4 3" xfId="30628"/>
    <cellStyle name="Normal 37 7 2 4 4" xfId="30629"/>
    <cellStyle name="Normal 37 7 2 5" xfId="30630"/>
    <cellStyle name="Normal 37 7 2 6" xfId="30631"/>
    <cellStyle name="Normal 37 7 2 7" xfId="30632"/>
    <cellStyle name="Normal 37 7 3" xfId="2811"/>
    <cellStyle name="Normal 37 7 3 2" xfId="30633"/>
    <cellStyle name="Normal 37 7 3 2 2" xfId="30634"/>
    <cellStyle name="Normal 37 7 3 2 3" xfId="30635"/>
    <cellStyle name="Normal 37 7 3 2 4" xfId="30636"/>
    <cellStyle name="Normal 37 7 3 3" xfId="30637"/>
    <cellStyle name="Normal 37 7 3 4" xfId="30638"/>
    <cellStyle name="Normal 37 7 3 5" xfId="30639"/>
    <cellStyle name="Normal 37 7 4" xfId="2812"/>
    <cellStyle name="Normal 37 7 4 2" xfId="30640"/>
    <cellStyle name="Normal 37 7 4 2 2" xfId="30641"/>
    <cellStyle name="Normal 37 7 4 2 3" xfId="30642"/>
    <cellStyle name="Normal 37 7 4 2 4" xfId="30643"/>
    <cellStyle name="Normal 37 7 4 3" xfId="30644"/>
    <cellStyle name="Normal 37 7 4 4" xfId="30645"/>
    <cellStyle name="Normal 37 7 4 5" xfId="30646"/>
    <cellStyle name="Normal 37 7 5" xfId="30647"/>
    <cellStyle name="Normal 37 7 5 2" xfId="30648"/>
    <cellStyle name="Normal 37 7 5 3" xfId="30649"/>
    <cellStyle name="Normal 37 7 5 4" xfId="30650"/>
    <cellStyle name="Normal 37 7 6" xfId="30651"/>
    <cellStyle name="Normal 37 7 7" xfId="30652"/>
    <cellStyle name="Normal 37 7 8" xfId="30653"/>
    <cellStyle name="Normal 37 8" xfId="2813"/>
    <cellStyle name="Normal 37 8 2" xfId="2814"/>
    <cellStyle name="Normal 37 8 2 2" xfId="30654"/>
    <cellStyle name="Normal 37 8 2 2 2" xfId="30655"/>
    <cellStyle name="Normal 37 8 2 2 3" xfId="30656"/>
    <cellStyle name="Normal 37 8 2 2 4" xfId="30657"/>
    <cellStyle name="Normal 37 8 2 3" xfId="30658"/>
    <cellStyle name="Normal 37 8 2 4" xfId="30659"/>
    <cellStyle name="Normal 37 8 2 5" xfId="30660"/>
    <cellStyle name="Normal 37 8 3" xfId="2815"/>
    <cellStyle name="Normal 37 8 3 2" xfId="30661"/>
    <cellStyle name="Normal 37 8 3 2 2" xfId="30662"/>
    <cellStyle name="Normal 37 8 3 2 3" xfId="30663"/>
    <cellStyle name="Normal 37 8 3 2 4" xfId="30664"/>
    <cellStyle name="Normal 37 8 3 3" xfId="30665"/>
    <cellStyle name="Normal 37 8 3 4" xfId="30666"/>
    <cellStyle name="Normal 37 8 3 5" xfId="30667"/>
    <cellStyle name="Normal 37 8 4" xfId="30668"/>
    <cellStyle name="Normal 37 8 4 2" xfId="30669"/>
    <cellStyle name="Normal 37 8 4 3" xfId="30670"/>
    <cellStyle name="Normal 37 8 4 4" xfId="30671"/>
    <cellStyle name="Normal 37 8 5" xfId="30672"/>
    <cellStyle name="Normal 37 8 6" xfId="30673"/>
    <cellStyle name="Normal 37 8 7" xfId="30674"/>
    <cellStyle name="Normal 37 9" xfId="2816"/>
    <cellStyle name="Normal 37 9 2" xfId="30675"/>
    <cellStyle name="Normal 37 9 2 2" xfId="30676"/>
    <cellStyle name="Normal 37 9 2 3" xfId="30677"/>
    <cellStyle name="Normal 37 9 2 4" xfId="30678"/>
    <cellStyle name="Normal 37 9 3" xfId="30679"/>
    <cellStyle name="Normal 37 9 4" xfId="30680"/>
    <cellStyle name="Normal 37 9 5" xfId="30681"/>
    <cellStyle name="Normal 38" xfId="30682"/>
    <cellStyle name="Normal 38 2" xfId="2817"/>
    <cellStyle name="Normal 38 2 2" xfId="2818"/>
    <cellStyle name="Normal 38 2 2 2" xfId="2819"/>
    <cellStyle name="Normal 38 2 2 2 2" xfId="2820"/>
    <cellStyle name="Normal 38 2 2 2 2 2" xfId="30683"/>
    <cellStyle name="Normal 38 2 2 2 2 2 2" xfId="30684"/>
    <cellStyle name="Normal 38 2 2 2 2 2 3" xfId="30685"/>
    <cellStyle name="Normal 38 2 2 2 2 2 4" xfId="30686"/>
    <cellStyle name="Normal 38 2 2 2 2 3" xfId="30687"/>
    <cellStyle name="Normal 38 2 2 2 2 4" xfId="30688"/>
    <cellStyle name="Normal 38 2 2 2 2 5" xfId="30689"/>
    <cellStyle name="Normal 38 2 2 2 3" xfId="2821"/>
    <cellStyle name="Normal 38 2 2 2 3 2" xfId="30690"/>
    <cellStyle name="Normal 38 2 2 2 3 2 2" xfId="30691"/>
    <cellStyle name="Normal 38 2 2 2 3 2 3" xfId="30692"/>
    <cellStyle name="Normal 38 2 2 2 3 2 4" xfId="30693"/>
    <cellStyle name="Normal 38 2 2 2 3 3" xfId="30694"/>
    <cellStyle name="Normal 38 2 2 2 3 4" xfId="30695"/>
    <cellStyle name="Normal 38 2 2 2 3 5" xfId="30696"/>
    <cellStyle name="Normal 38 2 2 2 4" xfId="30697"/>
    <cellStyle name="Normal 38 2 2 2 4 2" xfId="30698"/>
    <cellStyle name="Normal 38 2 2 2 4 3" xfId="30699"/>
    <cellStyle name="Normal 38 2 2 2 4 4" xfId="30700"/>
    <cellStyle name="Normal 38 2 2 2 5" xfId="30701"/>
    <cellStyle name="Normal 38 2 2 2 6" xfId="30702"/>
    <cellStyle name="Normal 38 2 2 2 7" xfId="30703"/>
    <cellStyle name="Normal 38 2 2 3" xfId="2822"/>
    <cellStyle name="Normal 38 2 2 3 2" xfId="30704"/>
    <cellStyle name="Normal 38 2 2 3 2 2" xfId="30705"/>
    <cellStyle name="Normal 38 2 2 3 2 3" xfId="30706"/>
    <cellStyle name="Normal 38 2 2 3 2 4" xfId="30707"/>
    <cellStyle name="Normal 38 2 2 3 3" xfId="30708"/>
    <cellStyle name="Normal 38 2 2 3 4" xfId="30709"/>
    <cellStyle name="Normal 38 2 2 3 5" xfId="30710"/>
    <cellStyle name="Normal 38 2 2 4" xfId="2823"/>
    <cellStyle name="Normal 38 2 2 4 2" xfId="30711"/>
    <cellStyle name="Normal 38 2 2 4 2 2" xfId="30712"/>
    <cellStyle name="Normal 38 2 2 4 2 3" xfId="30713"/>
    <cellStyle name="Normal 38 2 2 4 2 4" xfId="30714"/>
    <cellStyle name="Normal 38 2 2 4 3" xfId="30715"/>
    <cellStyle name="Normal 38 2 2 4 4" xfId="30716"/>
    <cellStyle name="Normal 38 2 2 4 5" xfId="30717"/>
    <cellStyle name="Normal 38 2 2 5" xfId="30718"/>
    <cellStyle name="Normal 38 2 2 5 2" xfId="30719"/>
    <cellStyle name="Normal 38 2 2 5 3" xfId="30720"/>
    <cellStyle name="Normal 38 2 2 5 4" xfId="30721"/>
    <cellStyle name="Normal 38 2 2 6" xfId="30722"/>
    <cellStyle name="Normal 38 2 2 7" xfId="30723"/>
    <cellStyle name="Normal 38 2 2 8" xfId="30724"/>
    <cellStyle name="Normal 38 2 3" xfId="2824"/>
    <cellStyle name="Normal 38 2 3 2" xfId="2825"/>
    <cellStyle name="Normal 38 2 3 2 2" xfId="30725"/>
    <cellStyle name="Normal 38 2 3 2 2 2" xfId="30726"/>
    <cellStyle name="Normal 38 2 3 2 2 3" xfId="30727"/>
    <cellStyle name="Normal 38 2 3 2 2 4" xfId="30728"/>
    <cellStyle name="Normal 38 2 3 2 3" xfId="30729"/>
    <cellStyle name="Normal 38 2 3 2 4" xfId="30730"/>
    <cellStyle name="Normal 38 2 3 2 5" xfId="30731"/>
    <cellStyle name="Normal 38 2 3 3" xfId="2826"/>
    <cellStyle name="Normal 38 2 3 3 2" xfId="30732"/>
    <cellStyle name="Normal 38 2 3 3 2 2" xfId="30733"/>
    <cellStyle name="Normal 38 2 3 3 2 3" xfId="30734"/>
    <cellStyle name="Normal 38 2 3 3 2 4" xfId="30735"/>
    <cellStyle name="Normal 38 2 3 3 3" xfId="30736"/>
    <cellStyle name="Normal 38 2 3 3 4" xfId="30737"/>
    <cellStyle name="Normal 38 2 3 3 5" xfId="30738"/>
    <cellStyle name="Normal 38 2 3 4" xfId="30739"/>
    <cellStyle name="Normal 38 2 3 4 2" xfId="30740"/>
    <cellStyle name="Normal 38 2 3 4 3" xfId="30741"/>
    <cellStyle name="Normal 38 2 3 4 4" xfId="30742"/>
    <cellStyle name="Normal 38 2 3 5" xfId="30743"/>
    <cellStyle name="Normal 38 2 3 6" xfId="30744"/>
    <cellStyle name="Normal 38 2 3 7" xfId="30745"/>
    <cellStyle name="Normal 38 2 4" xfId="2827"/>
    <cellStyle name="Normal 38 2 4 2" xfId="30746"/>
    <cellStyle name="Normal 38 2 4 2 2" xfId="30747"/>
    <cellStyle name="Normal 38 2 4 2 3" xfId="30748"/>
    <cellStyle name="Normal 38 2 4 2 4" xfId="30749"/>
    <cellStyle name="Normal 38 2 4 3" xfId="30750"/>
    <cellStyle name="Normal 38 2 4 4" xfId="30751"/>
    <cellStyle name="Normal 38 2 4 5" xfId="30752"/>
    <cellStyle name="Normal 38 2 5" xfId="2828"/>
    <cellStyle name="Normal 38 2 5 2" xfId="30753"/>
    <cellStyle name="Normal 38 2 5 2 2" xfId="30754"/>
    <cellStyle name="Normal 38 2 5 2 3" xfId="30755"/>
    <cellStyle name="Normal 38 2 5 2 4" xfId="30756"/>
    <cellStyle name="Normal 38 2 5 3" xfId="30757"/>
    <cellStyle name="Normal 38 2 5 4" xfId="30758"/>
    <cellStyle name="Normal 38 2 5 5" xfId="30759"/>
    <cellStyle name="Normal 38 2 6" xfId="30760"/>
    <cellStyle name="Normal 38 2 6 2" xfId="30761"/>
    <cellStyle name="Normal 38 2 6 3" xfId="30762"/>
    <cellStyle name="Normal 38 2 6 4" xfId="30763"/>
    <cellStyle name="Normal 38 2 7" xfId="30764"/>
    <cellStyle name="Normal 38 2 8" xfId="30765"/>
    <cellStyle name="Normal 38 2 9" xfId="30766"/>
    <cellStyle name="Normal 38 3" xfId="2829"/>
    <cellStyle name="Normal 38 3 2" xfId="2830"/>
    <cellStyle name="Normal 38 3 2 2" xfId="2831"/>
    <cellStyle name="Normal 38 3 2 2 2" xfId="2832"/>
    <cellStyle name="Normal 38 3 2 2 2 2" xfId="30767"/>
    <cellStyle name="Normal 38 3 2 2 2 2 2" xfId="30768"/>
    <cellStyle name="Normal 38 3 2 2 2 2 3" xfId="30769"/>
    <cellStyle name="Normal 38 3 2 2 2 2 4" xfId="30770"/>
    <cellStyle name="Normal 38 3 2 2 2 3" xfId="30771"/>
    <cellStyle name="Normal 38 3 2 2 2 4" xfId="30772"/>
    <cellStyle name="Normal 38 3 2 2 2 5" xfId="30773"/>
    <cellStyle name="Normal 38 3 2 2 3" xfId="2833"/>
    <cellStyle name="Normal 38 3 2 2 3 2" xfId="30774"/>
    <cellStyle name="Normal 38 3 2 2 3 2 2" xfId="30775"/>
    <cellStyle name="Normal 38 3 2 2 3 2 3" xfId="30776"/>
    <cellStyle name="Normal 38 3 2 2 3 2 4" xfId="30777"/>
    <cellStyle name="Normal 38 3 2 2 3 3" xfId="30778"/>
    <cellStyle name="Normal 38 3 2 2 3 4" xfId="30779"/>
    <cellStyle name="Normal 38 3 2 2 3 5" xfId="30780"/>
    <cellStyle name="Normal 38 3 2 2 4" xfId="30781"/>
    <cellStyle name="Normal 38 3 2 2 4 2" xfId="30782"/>
    <cellStyle name="Normal 38 3 2 2 4 3" xfId="30783"/>
    <cellStyle name="Normal 38 3 2 2 4 4" xfId="30784"/>
    <cellStyle name="Normal 38 3 2 2 5" xfId="30785"/>
    <cellStyle name="Normal 38 3 2 2 6" xfId="30786"/>
    <cellStyle name="Normal 38 3 2 2 7" xfId="30787"/>
    <cellStyle name="Normal 38 3 2 3" xfId="2834"/>
    <cellStyle name="Normal 38 3 2 3 2" xfId="30788"/>
    <cellStyle name="Normal 38 3 2 3 2 2" xfId="30789"/>
    <cellStyle name="Normal 38 3 2 3 2 3" xfId="30790"/>
    <cellStyle name="Normal 38 3 2 3 2 4" xfId="30791"/>
    <cellStyle name="Normal 38 3 2 3 3" xfId="30792"/>
    <cellStyle name="Normal 38 3 2 3 4" xfId="30793"/>
    <cellStyle name="Normal 38 3 2 3 5" xfId="30794"/>
    <cellStyle name="Normal 38 3 2 4" xfId="2835"/>
    <cellStyle name="Normal 38 3 2 4 2" xfId="30795"/>
    <cellStyle name="Normal 38 3 2 4 2 2" xfId="30796"/>
    <cellStyle name="Normal 38 3 2 4 2 3" xfId="30797"/>
    <cellStyle name="Normal 38 3 2 4 2 4" xfId="30798"/>
    <cellStyle name="Normal 38 3 2 4 3" xfId="30799"/>
    <cellStyle name="Normal 38 3 2 4 4" xfId="30800"/>
    <cellStyle name="Normal 38 3 2 4 5" xfId="30801"/>
    <cellStyle name="Normal 38 3 2 5" xfId="30802"/>
    <cellStyle name="Normal 38 3 2 5 2" xfId="30803"/>
    <cellStyle name="Normal 38 3 2 5 3" xfId="30804"/>
    <cellStyle name="Normal 38 3 2 5 4" xfId="30805"/>
    <cellStyle name="Normal 38 3 2 6" xfId="30806"/>
    <cellStyle name="Normal 38 3 2 7" xfId="30807"/>
    <cellStyle name="Normal 38 3 2 8" xfId="30808"/>
    <cellStyle name="Normal 38 3 3" xfId="2836"/>
    <cellStyle name="Normal 38 3 3 2" xfId="2837"/>
    <cellStyle name="Normal 38 3 3 2 2" xfId="30809"/>
    <cellStyle name="Normal 38 3 3 2 2 2" xfId="30810"/>
    <cellStyle name="Normal 38 3 3 2 2 3" xfId="30811"/>
    <cellStyle name="Normal 38 3 3 2 2 4" xfId="30812"/>
    <cellStyle name="Normal 38 3 3 2 3" xfId="30813"/>
    <cellStyle name="Normal 38 3 3 2 4" xfId="30814"/>
    <cellStyle name="Normal 38 3 3 2 5" xfId="30815"/>
    <cellStyle name="Normal 38 3 3 3" xfId="2838"/>
    <cellStyle name="Normal 38 3 3 3 2" xfId="30816"/>
    <cellStyle name="Normal 38 3 3 3 2 2" xfId="30817"/>
    <cellStyle name="Normal 38 3 3 3 2 3" xfId="30818"/>
    <cellStyle name="Normal 38 3 3 3 2 4" xfId="30819"/>
    <cellStyle name="Normal 38 3 3 3 3" xfId="30820"/>
    <cellStyle name="Normal 38 3 3 3 4" xfId="30821"/>
    <cellStyle name="Normal 38 3 3 3 5" xfId="30822"/>
    <cellStyle name="Normal 38 3 3 4" xfId="30823"/>
    <cellStyle name="Normal 38 3 3 4 2" xfId="30824"/>
    <cellStyle name="Normal 38 3 3 4 3" xfId="30825"/>
    <cellStyle name="Normal 38 3 3 4 4" xfId="30826"/>
    <cellStyle name="Normal 38 3 3 5" xfId="30827"/>
    <cellStyle name="Normal 38 3 3 6" xfId="30828"/>
    <cellStyle name="Normal 38 3 3 7" xfId="30829"/>
    <cellStyle name="Normal 38 3 4" xfId="2839"/>
    <cellStyle name="Normal 38 3 4 2" xfId="30830"/>
    <cellStyle name="Normal 38 3 4 2 2" xfId="30831"/>
    <cellStyle name="Normal 38 3 4 2 3" xfId="30832"/>
    <cellStyle name="Normal 38 3 4 2 4" xfId="30833"/>
    <cellStyle name="Normal 38 3 4 3" xfId="30834"/>
    <cellStyle name="Normal 38 3 4 4" xfId="30835"/>
    <cellStyle name="Normal 38 3 4 5" xfId="30836"/>
    <cellStyle name="Normal 38 3 5" xfId="2840"/>
    <cellStyle name="Normal 38 3 5 2" xfId="30837"/>
    <cellStyle name="Normal 38 3 5 2 2" xfId="30838"/>
    <cellStyle name="Normal 38 3 5 2 3" xfId="30839"/>
    <cellStyle name="Normal 38 3 5 2 4" xfId="30840"/>
    <cellStyle name="Normal 38 3 5 3" xfId="30841"/>
    <cellStyle name="Normal 38 3 5 4" xfId="30842"/>
    <cellStyle name="Normal 38 3 5 5" xfId="30843"/>
    <cellStyle name="Normal 38 3 6" xfId="30844"/>
    <cellStyle name="Normal 38 3 6 2" xfId="30845"/>
    <cellStyle name="Normal 38 3 6 3" xfId="30846"/>
    <cellStyle name="Normal 38 3 6 4" xfId="30847"/>
    <cellStyle name="Normal 38 3 7" xfId="30848"/>
    <cellStyle name="Normal 38 3 8" xfId="30849"/>
    <cellStyle name="Normal 38 3 9" xfId="30850"/>
    <cellStyle name="Normal 38 4" xfId="2841"/>
    <cellStyle name="Normal 38 4 2" xfId="2842"/>
    <cellStyle name="Normal 38 4 2 2" xfId="2843"/>
    <cellStyle name="Normal 38 4 2 2 2" xfId="2844"/>
    <cellStyle name="Normal 38 4 2 2 2 2" xfId="30851"/>
    <cellStyle name="Normal 38 4 2 2 2 2 2" xfId="30852"/>
    <cellStyle name="Normal 38 4 2 2 2 2 3" xfId="30853"/>
    <cellStyle name="Normal 38 4 2 2 2 2 4" xfId="30854"/>
    <cellStyle name="Normal 38 4 2 2 2 3" xfId="30855"/>
    <cellStyle name="Normal 38 4 2 2 2 4" xfId="30856"/>
    <cellStyle name="Normal 38 4 2 2 2 5" xfId="30857"/>
    <cellStyle name="Normal 38 4 2 2 3" xfId="2845"/>
    <cellStyle name="Normal 38 4 2 2 3 2" xfId="30858"/>
    <cellStyle name="Normal 38 4 2 2 3 2 2" xfId="30859"/>
    <cellStyle name="Normal 38 4 2 2 3 2 3" xfId="30860"/>
    <cellStyle name="Normal 38 4 2 2 3 2 4" xfId="30861"/>
    <cellStyle name="Normal 38 4 2 2 3 3" xfId="30862"/>
    <cellStyle name="Normal 38 4 2 2 3 4" xfId="30863"/>
    <cellStyle name="Normal 38 4 2 2 3 5" xfId="30864"/>
    <cellStyle name="Normal 38 4 2 2 4" xfId="30865"/>
    <cellStyle name="Normal 38 4 2 2 4 2" xfId="30866"/>
    <cellStyle name="Normal 38 4 2 2 4 3" xfId="30867"/>
    <cellStyle name="Normal 38 4 2 2 4 4" xfId="30868"/>
    <cellStyle name="Normal 38 4 2 2 5" xfId="30869"/>
    <cellStyle name="Normal 38 4 2 2 6" xfId="30870"/>
    <cellStyle name="Normal 38 4 2 2 7" xfId="30871"/>
    <cellStyle name="Normal 38 4 2 3" xfId="2846"/>
    <cellStyle name="Normal 38 4 2 3 2" xfId="30872"/>
    <cellStyle name="Normal 38 4 2 3 2 2" xfId="30873"/>
    <cellStyle name="Normal 38 4 2 3 2 3" xfId="30874"/>
    <cellStyle name="Normal 38 4 2 3 2 4" xfId="30875"/>
    <cellStyle name="Normal 38 4 2 3 3" xfId="30876"/>
    <cellStyle name="Normal 38 4 2 3 4" xfId="30877"/>
    <cellStyle name="Normal 38 4 2 3 5" xfId="30878"/>
    <cellStyle name="Normal 38 4 2 4" xfId="2847"/>
    <cellStyle name="Normal 38 4 2 4 2" xfId="30879"/>
    <cellStyle name="Normal 38 4 2 4 2 2" xfId="30880"/>
    <cellStyle name="Normal 38 4 2 4 2 3" xfId="30881"/>
    <cellStyle name="Normal 38 4 2 4 2 4" xfId="30882"/>
    <cellStyle name="Normal 38 4 2 4 3" xfId="30883"/>
    <cellStyle name="Normal 38 4 2 4 4" xfId="30884"/>
    <cellStyle name="Normal 38 4 2 4 5" xfId="30885"/>
    <cellStyle name="Normal 38 4 2 5" xfId="30886"/>
    <cellStyle name="Normal 38 4 2 5 2" xfId="30887"/>
    <cellStyle name="Normal 38 4 2 5 3" xfId="30888"/>
    <cellStyle name="Normal 38 4 2 5 4" xfId="30889"/>
    <cellStyle name="Normal 38 4 2 6" xfId="30890"/>
    <cellStyle name="Normal 38 4 2 7" xfId="30891"/>
    <cellStyle name="Normal 38 4 2 8" xfId="30892"/>
    <cellStyle name="Normal 38 4 3" xfId="2848"/>
    <cellStyle name="Normal 38 4 3 2" xfId="2849"/>
    <cellStyle name="Normal 38 4 3 2 2" xfId="30893"/>
    <cellStyle name="Normal 38 4 3 2 2 2" xfId="30894"/>
    <cellStyle name="Normal 38 4 3 2 2 3" xfId="30895"/>
    <cellStyle name="Normal 38 4 3 2 2 4" xfId="30896"/>
    <cellStyle name="Normal 38 4 3 2 3" xfId="30897"/>
    <cellStyle name="Normal 38 4 3 2 4" xfId="30898"/>
    <cellStyle name="Normal 38 4 3 2 5" xfId="30899"/>
    <cellStyle name="Normal 38 4 3 3" xfId="2850"/>
    <cellStyle name="Normal 38 4 3 3 2" xfId="30900"/>
    <cellStyle name="Normal 38 4 3 3 2 2" xfId="30901"/>
    <cellStyle name="Normal 38 4 3 3 2 3" xfId="30902"/>
    <cellStyle name="Normal 38 4 3 3 2 4" xfId="30903"/>
    <cellStyle name="Normal 38 4 3 3 3" xfId="30904"/>
    <cellStyle name="Normal 38 4 3 3 4" xfId="30905"/>
    <cellStyle name="Normal 38 4 3 3 5" xfId="30906"/>
    <cellStyle name="Normal 38 4 3 4" xfId="30907"/>
    <cellStyle name="Normal 38 4 3 4 2" xfId="30908"/>
    <cellStyle name="Normal 38 4 3 4 3" xfId="30909"/>
    <cellStyle name="Normal 38 4 3 4 4" xfId="30910"/>
    <cellStyle name="Normal 38 4 3 5" xfId="30911"/>
    <cellStyle name="Normal 38 4 3 6" xfId="30912"/>
    <cellStyle name="Normal 38 4 3 7" xfId="30913"/>
    <cellStyle name="Normal 38 4 4" xfId="2851"/>
    <cellStyle name="Normal 38 4 4 2" xfId="30914"/>
    <cellStyle name="Normal 38 4 4 2 2" xfId="30915"/>
    <cellStyle name="Normal 38 4 4 2 3" xfId="30916"/>
    <cellStyle name="Normal 38 4 4 2 4" xfId="30917"/>
    <cellStyle name="Normal 38 4 4 3" xfId="30918"/>
    <cellStyle name="Normal 38 4 4 4" xfId="30919"/>
    <cellStyle name="Normal 38 4 4 5" xfId="30920"/>
    <cellStyle name="Normal 38 4 5" xfId="2852"/>
    <cellStyle name="Normal 38 4 5 2" xfId="30921"/>
    <cellStyle name="Normal 38 4 5 2 2" xfId="30922"/>
    <cellStyle name="Normal 38 4 5 2 3" xfId="30923"/>
    <cellStyle name="Normal 38 4 5 2 4" xfId="30924"/>
    <cellStyle name="Normal 38 4 5 3" xfId="30925"/>
    <cellStyle name="Normal 38 4 5 4" xfId="30926"/>
    <cellStyle name="Normal 38 4 5 5" xfId="30927"/>
    <cellStyle name="Normal 38 4 6" xfId="30928"/>
    <cellStyle name="Normal 38 4 6 2" xfId="30929"/>
    <cellStyle name="Normal 38 4 6 3" xfId="30930"/>
    <cellStyle name="Normal 38 4 6 4" xfId="30931"/>
    <cellStyle name="Normal 38 4 7" xfId="30932"/>
    <cellStyle name="Normal 38 4 8" xfId="30933"/>
    <cellStyle name="Normal 38 4 9" xfId="30934"/>
    <cellStyle name="Normal 38 5" xfId="2853"/>
    <cellStyle name="Normal 38 5 2" xfId="2854"/>
    <cellStyle name="Normal 38 5 2 2" xfId="2855"/>
    <cellStyle name="Normal 38 5 2 2 2" xfId="2856"/>
    <cellStyle name="Normal 38 5 2 2 2 2" xfId="30935"/>
    <cellStyle name="Normal 38 5 2 2 2 2 2" xfId="30936"/>
    <cellStyle name="Normal 38 5 2 2 2 2 3" xfId="30937"/>
    <cellStyle name="Normal 38 5 2 2 2 2 4" xfId="30938"/>
    <cellStyle name="Normal 38 5 2 2 2 3" xfId="30939"/>
    <cellStyle name="Normal 38 5 2 2 2 4" xfId="30940"/>
    <cellStyle name="Normal 38 5 2 2 2 5" xfId="30941"/>
    <cellStyle name="Normal 38 5 2 2 3" xfId="2857"/>
    <cellStyle name="Normal 38 5 2 2 3 2" xfId="30942"/>
    <cellStyle name="Normal 38 5 2 2 3 2 2" xfId="30943"/>
    <cellStyle name="Normal 38 5 2 2 3 2 3" xfId="30944"/>
    <cellStyle name="Normal 38 5 2 2 3 2 4" xfId="30945"/>
    <cellStyle name="Normal 38 5 2 2 3 3" xfId="30946"/>
    <cellStyle name="Normal 38 5 2 2 3 4" xfId="30947"/>
    <cellStyle name="Normal 38 5 2 2 3 5" xfId="30948"/>
    <cellStyle name="Normal 38 5 2 2 4" xfId="30949"/>
    <cellStyle name="Normal 38 5 2 2 4 2" xfId="30950"/>
    <cellStyle name="Normal 38 5 2 2 4 3" xfId="30951"/>
    <cellStyle name="Normal 38 5 2 2 4 4" xfId="30952"/>
    <cellStyle name="Normal 38 5 2 2 5" xfId="30953"/>
    <cellStyle name="Normal 38 5 2 2 6" xfId="30954"/>
    <cellStyle name="Normal 38 5 2 2 7" xfId="30955"/>
    <cellStyle name="Normal 38 5 2 3" xfId="2858"/>
    <cellStyle name="Normal 38 5 2 3 2" xfId="30956"/>
    <cellStyle name="Normal 38 5 2 3 2 2" xfId="30957"/>
    <cellStyle name="Normal 38 5 2 3 2 3" xfId="30958"/>
    <cellStyle name="Normal 38 5 2 3 2 4" xfId="30959"/>
    <cellStyle name="Normal 38 5 2 3 3" xfId="30960"/>
    <cellStyle name="Normal 38 5 2 3 4" xfId="30961"/>
    <cellStyle name="Normal 38 5 2 3 5" xfId="30962"/>
    <cellStyle name="Normal 38 5 2 4" xfId="2859"/>
    <cellStyle name="Normal 38 5 2 4 2" xfId="30963"/>
    <cellStyle name="Normal 38 5 2 4 2 2" xfId="30964"/>
    <cellStyle name="Normal 38 5 2 4 2 3" xfId="30965"/>
    <cellStyle name="Normal 38 5 2 4 2 4" xfId="30966"/>
    <cellStyle name="Normal 38 5 2 4 3" xfId="30967"/>
    <cellStyle name="Normal 38 5 2 4 4" xfId="30968"/>
    <cellStyle name="Normal 38 5 2 4 5" xfId="30969"/>
    <cellStyle name="Normal 38 5 2 5" xfId="30970"/>
    <cellStyle name="Normal 38 5 2 5 2" xfId="30971"/>
    <cellStyle name="Normal 38 5 2 5 3" xfId="30972"/>
    <cellStyle name="Normal 38 5 2 5 4" xfId="30973"/>
    <cellStyle name="Normal 38 5 2 6" xfId="30974"/>
    <cellStyle name="Normal 38 5 2 7" xfId="30975"/>
    <cellStyle name="Normal 38 5 2 8" xfId="30976"/>
    <cellStyle name="Normal 38 5 3" xfId="2860"/>
    <cellStyle name="Normal 38 5 3 2" xfId="2861"/>
    <cellStyle name="Normal 38 5 3 2 2" xfId="30977"/>
    <cellStyle name="Normal 38 5 3 2 2 2" xfId="30978"/>
    <cellStyle name="Normal 38 5 3 2 2 3" xfId="30979"/>
    <cellStyle name="Normal 38 5 3 2 2 4" xfId="30980"/>
    <cellStyle name="Normal 38 5 3 2 3" xfId="30981"/>
    <cellStyle name="Normal 38 5 3 2 4" xfId="30982"/>
    <cellStyle name="Normal 38 5 3 2 5" xfId="30983"/>
    <cellStyle name="Normal 38 5 3 3" xfId="2862"/>
    <cellStyle name="Normal 38 5 3 3 2" xfId="30984"/>
    <cellStyle name="Normal 38 5 3 3 2 2" xfId="30985"/>
    <cellStyle name="Normal 38 5 3 3 2 3" xfId="30986"/>
    <cellStyle name="Normal 38 5 3 3 2 4" xfId="30987"/>
    <cellStyle name="Normal 38 5 3 3 3" xfId="30988"/>
    <cellStyle name="Normal 38 5 3 3 4" xfId="30989"/>
    <cellStyle name="Normal 38 5 3 3 5" xfId="30990"/>
    <cellStyle name="Normal 38 5 3 4" xfId="30991"/>
    <cellStyle name="Normal 38 5 3 4 2" xfId="30992"/>
    <cellStyle name="Normal 38 5 3 4 3" xfId="30993"/>
    <cellStyle name="Normal 38 5 3 4 4" xfId="30994"/>
    <cellStyle name="Normal 38 5 3 5" xfId="30995"/>
    <cellStyle name="Normal 38 5 3 6" xfId="30996"/>
    <cellStyle name="Normal 38 5 3 7" xfId="30997"/>
    <cellStyle name="Normal 38 5 4" xfId="2863"/>
    <cellStyle name="Normal 38 5 4 2" xfId="30998"/>
    <cellStyle name="Normal 38 5 4 2 2" xfId="30999"/>
    <cellStyle name="Normal 38 5 4 2 3" xfId="31000"/>
    <cellStyle name="Normal 38 5 4 2 4" xfId="31001"/>
    <cellStyle name="Normal 38 5 4 3" xfId="31002"/>
    <cellStyle name="Normal 38 5 4 4" xfId="31003"/>
    <cellStyle name="Normal 38 5 4 5" xfId="31004"/>
    <cellStyle name="Normal 38 5 5" xfId="2864"/>
    <cellStyle name="Normal 38 5 5 2" xfId="31005"/>
    <cellStyle name="Normal 38 5 5 2 2" xfId="31006"/>
    <cellStyle name="Normal 38 5 5 2 3" xfId="31007"/>
    <cellStyle name="Normal 38 5 5 2 4" xfId="31008"/>
    <cellStyle name="Normal 38 5 5 3" xfId="31009"/>
    <cellStyle name="Normal 38 5 5 4" xfId="31010"/>
    <cellStyle name="Normal 38 5 5 5" xfId="31011"/>
    <cellStyle name="Normal 38 5 6" xfId="31012"/>
    <cellStyle name="Normal 38 5 6 2" xfId="31013"/>
    <cellStyle name="Normal 38 5 6 3" xfId="31014"/>
    <cellStyle name="Normal 38 5 6 4" xfId="31015"/>
    <cellStyle name="Normal 38 5 7" xfId="31016"/>
    <cellStyle name="Normal 38 5 8" xfId="31017"/>
    <cellStyle name="Normal 38 5 9" xfId="31018"/>
    <cellStyle name="Normal 38 6" xfId="31019"/>
    <cellStyle name="Normal 38 6 2" xfId="31020"/>
    <cellStyle name="Normal 39" xfId="31021"/>
    <cellStyle name="Normal 39 2" xfId="31022"/>
    <cellStyle name="Normal 39 3" xfId="31023"/>
    <cellStyle name="Normal 39 4" xfId="40342"/>
    <cellStyle name="Normal 4" xfId="2865"/>
    <cellStyle name="Normal 4 10" xfId="2866"/>
    <cellStyle name="Normal 4 10 2" xfId="2867"/>
    <cellStyle name="Normal 4 10 3" xfId="2868"/>
    <cellStyle name="Normal 4 10 4" xfId="2869"/>
    <cellStyle name="Normal 4 10 5" xfId="2870"/>
    <cellStyle name="Normal 4 10 6" xfId="31024"/>
    <cellStyle name="Normal 4 10 7" xfId="31025"/>
    <cellStyle name="Normal 4 10 8" xfId="31026"/>
    <cellStyle name="Normal 4 11" xfId="2871"/>
    <cellStyle name="Normal 4 11 2" xfId="2872"/>
    <cellStyle name="Normal 4 11 3" xfId="2873"/>
    <cellStyle name="Normal 4 11 4" xfId="2874"/>
    <cellStyle name="Normal 4 11 5" xfId="2875"/>
    <cellStyle name="Normal 4 11 6" xfId="31027"/>
    <cellStyle name="Normal 4 11 7" xfId="31028"/>
    <cellStyle name="Normal 4 11 8" xfId="31029"/>
    <cellStyle name="Normal 4 12" xfId="2876"/>
    <cellStyle name="Normal 4 12 2" xfId="2877"/>
    <cellStyle name="Normal 4 12 3" xfId="2878"/>
    <cellStyle name="Normal 4 12 4" xfId="2879"/>
    <cellStyle name="Normal 4 12 5" xfId="2880"/>
    <cellStyle name="Normal 4 12 6" xfId="31030"/>
    <cellStyle name="Normal 4 12 7" xfId="31031"/>
    <cellStyle name="Normal 4 12 8" xfId="31032"/>
    <cellStyle name="Normal 4 13" xfId="2881"/>
    <cellStyle name="Normal 4 13 2" xfId="2882"/>
    <cellStyle name="Normal 4 13 3" xfId="2883"/>
    <cellStyle name="Normal 4 13 4" xfId="2884"/>
    <cellStyle name="Normal 4 13 5" xfId="2885"/>
    <cellStyle name="Normal 4 13 6" xfId="31033"/>
    <cellStyle name="Normal 4 13 7" xfId="31034"/>
    <cellStyle name="Normal 4 13 8" xfId="31035"/>
    <cellStyle name="Normal 4 14" xfId="2886"/>
    <cellStyle name="Normal 4 14 2" xfId="31036"/>
    <cellStyle name="Normal 4 14 3" xfId="31037"/>
    <cellStyle name="Normal 4 15" xfId="2887"/>
    <cellStyle name="Normal 4 16" xfId="2888"/>
    <cellStyle name="Normal 4 17" xfId="2889"/>
    <cellStyle name="Normal 4 18" xfId="31038"/>
    <cellStyle name="Normal 4 19" xfId="31039"/>
    <cellStyle name="Normal 4 2" xfId="2890"/>
    <cellStyle name="Normal 4 2 2" xfId="2891"/>
    <cellStyle name="Normal 4 2 3" xfId="2892"/>
    <cellStyle name="Normal 4 2 4" xfId="2893"/>
    <cellStyle name="Normal 4 2 5" xfId="2894"/>
    <cellStyle name="Normal 4 2 6" xfId="31040"/>
    <cellStyle name="Normal 4 2 7" xfId="31041"/>
    <cellStyle name="Normal 4 2 8" xfId="31042"/>
    <cellStyle name="Normal 4 20" xfId="31043"/>
    <cellStyle name="Normal 4 21" xfId="31044"/>
    <cellStyle name="Normal 4 21 2" xfId="31045"/>
    <cellStyle name="Normal 4 21 3" xfId="31046"/>
    <cellStyle name="Normal 4 21 4" xfId="31047"/>
    <cellStyle name="Normal 4 21 5" xfId="31048"/>
    <cellStyle name="Normal 4 21 5 2" xfId="31049"/>
    <cellStyle name="Normal 4 21 6" xfId="31050"/>
    <cellStyle name="Normal 4 21 6 2" xfId="40075"/>
    <cellStyle name="Normal 4 21 7" xfId="40343"/>
    <cellStyle name="Normal 4 21 7 2" xfId="40344"/>
    <cellStyle name="Normal 4 3" xfId="2895"/>
    <cellStyle name="Normal 4 3 2" xfId="2896"/>
    <cellStyle name="Normal 4 3 3" xfId="2897"/>
    <cellStyle name="Normal 4 3 4" xfId="2898"/>
    <cellStyle name="Normal 4 3 5" xfId="2899"/>
    <cellStyle name="Normal 4 3 6" xfId="31051"/>
    <cellStyle name="Normal 4 3 7" xfId="31052"/>
    <cellStyle name="Normal 4 3 8" xfId="31053"/>
    <cellStyle name="Normal 4 4" xfId="2900"/>
    <cellStyle name="Normal 4 4 2" xfId="2901"/>
    <cellStyle name="Normal 4 4 3" xfId="2902"/>
    <cellStyle name="Normal 4 4 4" xfId="2903"/>
    <cellStyle name="Normal 4 4 5" xfId="2904"/>
    <cellStyle name="Normal 4 4 6" xfId="31054"/>
    <cellStyle name="Normal 4 4 7" xfId="31055"/>
    <cellStyle name="Normal 4 4 8" xfId="31056"/>
    <cellStyle name="Normal 4 5" xfId="2905"/>
    <cellStyle name="Normal 4 5 2" xfId="2906"/>
    <cellStyle name="Normal 4 5 3" xfId="2907"/>
    <cellStyle name="Normal 4 5 4" xfId="2908"/>
    <cellStyle name="Normal 4 5 5" xfId="2909"/>
    <cellStyle name="Normal 4 5 6" xfId="31057"/>
    <cellStyle name="Normal 4 5 7" xfId="31058"/>
    <cellStyle name="Normal 4 5 8" xfId="31059"/>
    <cellStyle name="Normal 4 6" xfId="2910"/>
    <cellStyle name="Normal 4 6 2" xfId="2911"/>
    <cellStyle name="Normal 4 6 3" xfId="2912"/>
    <cellStyle name="Normal 4 6 4" xfId="2913"/>
    <cellStyle name="Normal 4 6 5" xfId="2914"/>
    <cellStyle name="Normal 4 6 6" xfId="31060"/>
    <cellStyle name="Normal 4 6 7" xfId="31061"/>
    <cellStyle name="Normal 4 6 8" xfId="31062"/>
    <cellStyle name="Normal 4 7" xfId="2915"/>
    <cellStyle name="Normal 4 7 2" xfId="2916"/>
    <cellStyle name="Normal 4 7 3" xfId="2917"/>
    <cellStyle name="Normal 4 7 4" xfId="2918"/>
    <cellStyle name="Normal 4 7 5" xfId="2919"/>
    <cellStyle name="Normal 4 7 6" xfId="31063"/>
    <cellStyle name="Normal 4 7 7" xfId="31064"/>
    <cellStyle name="Normal 4 7 8" xfId="31065"/>
    <cellStyle name="Normal 4 8" xfId="2920"/>
    <cellStyle name="Normal 4 8 2" xfId="2921"/>
    <cellStyle name="Normal 4 8 3" xfId="2922"/>
    <cellStyle name="Normal 4 8 4" xfId="2923"/>
    <cellStyle name="Normal 4 8 5" xfId="2924"/>
    <cellStyle name="Normal 4 8 6" xfId="31066"/>
    <cellStyle name="Normal 4 8 7" xfId="31067"/>
    <cellStyle name="Normal 4 8 8" xfId="31068"/>
    <cellStyle name="Normal 4 9" xfId="2925"/>
    <cellStyle name="Normal 4 9 2" xfId="2926"/>
    <cellStyle name="Normal 4 9 3" xfId="2927"/>
    <cellStyle name="Normal 4 9 4" xfId="2928"/>
    <cellStyle name="Normal 4 9 5" xfId="2929"/>
    <cellStyle name="Normal 4 9 6" xfId="31069"/>
    <cellStyle name="Normal 4 9 7" xfId="31070"/>
    <cellStyle name="Normal 4 9 8" xfId="31071"/>
    <cellStyle name="Normal 4_Sheet1" xfId="31072"/>
    <cellStyle name="Normal 40" xfId="31073"/>
    <cellStyle name="Normal 40 2" xfId="31074"/>
    <cellStyle name="Normal 40 3" xfId="40345"/>
    <cellStyle name="Normal 41" xfId="31075"/>
    <cellStyle name="Normal 41 2" xfId="31076"/>
    <cellStyle name="Normal 42" xfId="31077"/>
    <cellStyle name="Normal 42 2" xfId="31078"/>
    <cellStyle name="Normal 42 3" xfId="40346"/>
    <cellStyle name="Normal 43" xfId="31079"/>
    <cellStyle name="Normal 43 2" xfId="31080"/>
    <cellStyle name="Normal 44" xfId="2930"/>
    <cellStyle name="Normal 44 2" xfId="2931"/>
    <cellStyle name="Normal 44 2 2" xfId="2932"/>
    <cellStyle name="Normal 44 2 2 2" xfId="2933"/>
    <cellStyle name="Normal 44 2 2 2 2" xfId="31081"/>
    <cellStyle name="Normal 44 2 2 2 2 2" xfId="31082"/>
    <cellStyle name="Normal 44 2 2 2 2 3" xfId="31083"/>
    <cellStyle name="Normal 44 2 2 2 2 4" xfId="31084"/>
    <cellStyle name="Normal 44 2 2 2 3" xfId="31085"/>
    <cellStyle name="Normal 44 2 2 2 4" xfId="31086"/>
    <cellStyle name="Normal 44 2 2 2 5" xfId="31087"/>
    <cellStyle name="Normal 44 2 2 3" xfId="2934"/>
    <cellStyle name="Normal 44 2 2 3 2" xfId="31088"/>
    <cellStyle name="Normal 44 2 2 3 2 2" xfId="31089"/>
    <cellStyle name="Normal 44 2 2 3 2 3" xfId="31090"/>
    <cellStyle name="Normal 44 2 2 3 2 4" xfId="31091"/>
    <cellStyle name="Normal 44 2 2 3 3" xfId="31092"/>
    <cellStyle name="Normal 44 2 2 3 4" xfId="31093"/>
    <cellStyle name="Normal 44 2 2 3 5" xfId="31094"/>
    <cellStyle name="Normal 44 2 2 4" xfId="31095"/>
    <cellStyle name="Normal 44 2 2 4 2" xfId="31096"/>
    <cellStyle name="Normal 44 2 2 4 3" xfId="31097"/>
    <cellStyle name="Normal 44 2 2 4 4" xfId="31098"/>
    <cellStyle name="Normal 44 2 2 5" xfId="31099"/>
    <cellStyle name="Normal 44 2 2 6" xfId="31100"/>
    <cellStyle name="Normal 44 2 2 7" xfId="31101"/>
    <cellStyle name="Normal 44 2 3" xfId="2935"/>
    <cellStyle name="Normal 44 2 3 2" xfId="31102"/>
    <cellStyle name="Normal 44 2 3 2 2" xfId="31103"/>
    <cellStyle name="Normal 44 2 3 2 3" xfId="31104"/>
    <cellStyle name="Normal 44 2 3 2 4" xfId="31105"/>
    <cellStyle name="Normal 44 2 3 3" xfId="31106"/>
    <cellStyle name="Normal 44 2 3 4" xfId="31107"/>
    <cellStyle name="Normal 44 2 3 5" xfId="31108"/>
    <cellStyle name="Normal 44 2 4" xfId="2936"/>
    <cellStyle name="Normal 44 2 4 2" xfId="31109"/>
    <cellStyle name="Normal 44 2 4 2 2" xfId="31110"/>
    <cellStyle name="Normal 44 2 4 2 3" xfId="31111"/>
    <cellStyle name="Normal 44 2 4 2 4" xfId="31112"/>
    <cellStyle name="Normal 44 2 4 3" xfId="31113"/>
    <cellStyle name="Normal 44 2 4 4" xfId="31114"/>
    <cellStyle name="Normal 44 2 4 5" xfId="31115"/>
    <cellStyle name="Normal 44 2 5" xfId="31116"/>
    <cellStyle name="Normal 44 2 5 2" xfId="31117"/>
    <cellStyle name="Normal 44 2 5 3" xfId="31118"/>
    <cellStyle name="Normal 44 2 5 4" xfId="31119"/>
    <cellStyle name="Normal 44 2 6" xfId="31120"/>
    <cellStyle name="Normal 44 2 7" xfId="31121"/>
    <cellStyle name="Normal 44 2 8" xfId="31122"/>
    <cellStyle name="Normal 44 3" xfId="2937"/>
    <cellStyle name="Normal 44 3 2" xfId="2938"/>
    <cellStyle name="Normal 44 3 2 2" xfId="31123"/>
    <cellStyle name="Normal 44 3 2 2 2" xfId="31124"/>
    <cellStyle name="Normal 44 3 2 2 3" xfId="31125"/>
    <cellStyle name="Normal 44 3 2 2 4" xfId="31126"/>
    <cellStyle name="Normal 44 3 2 3" xfId="31127"/>
    <cellStyle name="Normal 44 3 2 4" xfId="31128"/>
    <cellStyle name="Normal 44 3 2 5" xfId="31129"/>
    <cellStyle name="Normal 44 3 3" xfId="2939"/>
    <cellStyle name="Normal 44 3 3 2" xfId="31130"/>
    <cellStyle name="Normal 44 3 3 2 2" xfId="31131"/>
    <cellStyle name="Normal 44 3 3 2 3" xfId="31132"/>
    <cellStyle name="Normal 44 3 3 2 4" xfId="31133"/>
    <cellStyle name="Normal 44 3 3 3" xfId="31134"/>
    <cellStyle name="Normal 44 3 3 4" xfId="31135"/>
    <cellStyle name="Normal 44 3 3 5" xfId="31136"/>
    <cellStyle name="Normal 44 3 4" xfId="31137"/>
    <cellStyle name="Normal 44 3 4 2" xfId="31138"/>
    <cellStyle name="Normal 44 3 4 3" xfId="31139"/>
    <cellStyle name="Normal 44 3 4 4" xfId="31140"/>
    <cellStyle name="Normal 44 3 5" xfId="31141"/>
    <cellStyle name="Normal 44 3 6" xfId="31142"/>
    <cellStyle name="Normal 44 3 7" xfId="31143"/>
    <cellStyle name="Normal 44 4" xfId="2940"/>
    <cellStyle name="Normal 44 4 2" xfId="31144"/>
    <cellStyle name="Normal 44 4 2 2" xfId="31145"/>
    <cellStyle name="Normal 44 4 2 3" xfId="31146"/>
    <cellStyle name="Normal 44 4 2 4" xfId="31147"/>
    <cellStyle name="Normal 44 4 3" xfId="31148"/>
    <cellStyle name="Normal 44 4 4" xfId="31149"/>
    <cellStyle name="Normal 44 4 5" xfId="31150"/>
    <cellStyle name="Normal 44 5" xfId="2941"/>
    <cellStyle name="Normal 44 5 2" xfId="31151"/>
    <cellStyle name="Normal 44 5 2 2" xfId="31152"/>
    <cellStyle name="Normal 44 5 2 3" xfId="31153"/>
    <cellStyle name="Normal 44 5 2 4" xfId="31154"/>
    <cellStyle name="Normal 44 5 3" xfId="31155"/>
    <cellStyle name="Normal 44 5 4" xfId="31156"/>
    <cellStyle name="Normal 44 5 5" xfId="31157"/>
    <cellStyle name="Normal 44 6" xfId="31158"/>
    <cellStyle name="Normal 44 6 2" xfId="31159"/>
    <cellStyle name="Normal 44 6 3" xfId="31160"/>
    <cellStyle name="Normal 44 6 4" xfId="31161"/>
    <cellStyle name="Normal 44 7" xfId="31162"/>
    <cellStyle name="Normal 44 8" xfId="31163"/>
    <cellStyle name="Normal 44 9" xfId="31164"/>
    <cellStyle name="Normal 45" xfId="2942"/>
    <cellStyle name="Normal 45 2" xfId="2943"/>
    <cellStyle name="Normal 45 2 2" xfId="2944"/>
    <cellStyle name="Normal 45 2 2 2" xfId="2945"/>
    <cellStyle name="Normal 45 2 2 2 2" xfId="31165"/>
    <cellStyle name="Normal 45 2 2 2 2 2" xfId="31166"/>
    <cellStyle name="Normal 45 2 2 2 2 3" xfId="31167"/>
    <cellStyle name="Normal 45 2 2 2 2 4" xfId="31168"/>
    <cellStyle name="Normal 45 2 2 2 3" xfId="31169"/>
    <cellStyle name="Normal 45 2 2 2 4" xfId="31170"/>
    <cellStyle name="Normal 45 2 2 2 5" xfId="31171"/>
    <cellStyle name="Normal 45 2 2 3" xfId="2946"/>
    <cellStyle name="Normal 45 2 2 3 2" xfId="31172"/>
    <cellStyle name="Normal 45 2 2 3 2 2" xfId="31173"/>
    <cellStyle name="Normal 45 2 2 3 2 3" xfId="31174"/>
    <cellStyle name="Normal 45 2 2 3 2 4" xfId="31175"/>
    <cellStyle name="Normal 45 2 2 3 3" xfId="31176"/>
    <cellStyle name="Normal 45 2 2 3 4" xfId="31177"/>
    <cellStyle name="Normal 45 2 2 3 5" xfId="31178"/>
    <cellStyle name="Normal 45 2 2 4" xfId="31179"/>
    <cellStyle name="Normal 45 2 2 4 2" xfId="31180"/>
    <cellStyle name="Normal 45 2 2 4 3" xfId="31181"/>
    <cellStyle name="Normal 45 2 2 4 4" xfId="31182"/>
    <cellStyle name="Normal 45 2 2 5" xfId="31183"/>
    <cellStyle name="Normal 45 2 2 6" xfId="31184"/>
    <cellStyle name="Normal 45 2 2 7" xfId="31185"/>
    <cellStyle name="Normal 45 2 3" xfId="2947"/>
    <cellStyle name="Normal 45 2 3 2" xfId="31186"/>
    <cellStyle name="Normal 45 2 3 2 2" xfId="31187"/>
    <cellStyle name="Normal 45 2 3 2 3" xfId="31188"/>
    <cellStyle name="Normal 45 2 3 2 4" xfId="31189"/>
    <cellStyle name="Normal 45 2 3 3" xfId="31190"/>
    <cellStyle name="Normal 45 2 3 4" xfId="31191"/>
    <cellStyle name="Normal 45 2 3 5" xfId="31192"/>
    <cellStyle name="Normal 45 2 4" xfId="2948"/>
    <cellStyle name="Normal 45 2 4 2" xfId="31193"/>
    <cellStyle name="Normal 45 2 4 2 2" xfId="31194"/>
    <cellStyle name="Normal 45 2 4 2 3" xfId="31195"/>
    <cellStyle name="Normal 45 2 4 2 4" xfId="31196"/>
    <cellStyle name="Normal 45 2 4 3" xfId="31197"/>
    <cellStyle name="Normal 45 2 4 4" xfId="31198"/>
    <cellStyle name="Normal 45 2 4 5" xfId="31199"/>
    <cellStyle name="Normal 45 2 5" xfId="31200"/>
    <cellStyle name="Normal 45 2 5 2" xfId="31201"/>
    <cellStyle name="Normal 45 2 5 3" xfId="31202"/>
    <cellStyle name="Normal 45 2 5 4" xfId="31203"/>
    <cellStyle name="Normal 45 2 6" xfId="31204"/>
    <cellStyle name="Normal 45 2 7" xfId="31205"/>
    <cellStyle name="Normal 45 2 8" xfId="31206"/>
    <cellStyle name="Normal 45 3" xfId="2949"/>
    <cellStyle name="Normal 45 3 2" xfId="2950"/>
    <cellStyle name="Normal 45 3 2 2" xfId="31207"/>
    <cellStyle name="Normal 45 3 2 2 2" xfId="31208"/>
    <cellStyle name="Normal 45 3 2 2 3" xfId="31209"/>
    <cellStyle name="Normal 45 3 2 2 4" xfId="31210"/>
    <cellStyle name="Normal 45 3 2 3" xfId="31211"/>
    <cellStyle name="Normal 45 3 2 4" xfId="31212"/>
    <cellStyle name="Normal 45 3 2 5" xfId="31213"/>
    <cellStyle name="Normal 45 3 3" xfId="2951"/>
    <cellStyle name="Normal 45 3 3 2" xfId="31214"/>
    <cellStyle name="Normal 45 3 3 2 2" xfId="31215"/>
    <cellStyle name="Normal 45 3 3 2 3" xfId="31216"/>
    <cellStyle name="Normal 45 3 3 2 4" xfId="31217"/>
    <cellStyle name="Normal 45 3 3 3" xfId="31218"/>
    <cellStyle name="Normal 45 3 3 4" xfId="31219"/>
    <cellStyle name="Normal 45 3 3 5" xfId="31220"/>
    <cellStyle name="Normal 45 3 4" xfId="31221"/>
    <cellStyle name="Normal 45 3 4 2" xfId="31222"/>
    <cellStyle name="Normal 45 3 4 3" xfId="31223"/>
    <cellStyle name="Normal 45 3 4 4" xfId="31224"/>
    <cellStyle name="Normal 45 3 5" xfId="31225"/>
    <cellStyle name="Normal 45 3 6" xfId="31226"/>
    <cellStyle name="Normal 45 3 7" xfId="31227"/>
    <cellStyle name="Normal 45 4" xfId="2952"/>
    <cellStyle name="Normal 45 4 2" xfId="31228"/>
    <cellStyle name="Normal 45 4 2 2" xfId="31229"/>
    <cellStyle name="Normal 45 4 2 3" xfId="31230"/>
    <cellStyle name="Normal 45 4 2 4" xfId="31231"/>
    <cellStyle name="Normal 45 4 3" xfId="31232"/>
    <cellStyle name="Normal 45 4 4" xfId="31233"/>
    <cellStyle name="Normal 45 4 5" xfId="31234"/>
    <cellStyle name="Normal 45 5" xfId="2953"/>
    <cellStyle name="Normal 45 5 2" xfId="31235"/>
    <cellStyle name="Normal 45 5 2 2" xfId="31236"/>
    <cellStyle name="Normal 45 5 2 3" xfId="31237"/>
    <cellStyle name="Normal 45 5 2 4" xfId="31238"/>
    <cellStyle name="Normal 45 5 3" xfId="31239"/>
    <cellStyle name="Normal 45 5 4" xfId="31240"/>
    <cellStyle name="Normal 45 5 5" xfId="31241"/>
    <cellStyle name="Normal 45 6" xfId="31242"/>
    <cellStyle name="Normal 45 6 2" xfId="31243"/>
    <cellStyle name="Normal 45 6 3" xfId="31244"/>
    <cellStyle name="Normal 45 6 4" xfId="31245"/>
    <cellStyle name="Normal 45 7" xfId="31246"/>
    <cellStyle name="Normal 45 8" xfId="31247"/>
    <cellStyle name="Normal 45 9" xfId="31248"/>
    <cellStyle name="Normal 46" xfId="31249"/>
    <cellStyle name="Normal 47" xfId="31250"/>
    <cellStyle name="Normal 47 2" xfId="31251"/>
    <cellStyle name="Normal 47 3" xfId="40347"/>
    <cellStyle name="Normal 48" xfId="31252"/>
    <cellStyle name="Normal 48 2" xfId="31253"/>
    <cellStyle name="Normal 48 3" xfId="40348"/>
    <cellStyle name="Normal 49" xfId="31254"/>
    <cellStyle name="Normal 49 2" xfId="31255"/>
    <cellStyle name="Normal 49 3" xfId="40349"/>
    <cellStyle name="Normal 49 4" xfId="40350"/>
    <cellStyle name="Normal 49 5" xfId="40351"/>
    <cellStyle name="Normal 5" xfId="2954"/>
    <cellStyle name="Normal 5 10" xfId="2955"/>
    <cellStyle name="Normal 5 11" xfId="2956"/>
    <cellStyle name="Normal 5 12" xfId="2957"/>
    <cellStyle name="Normal 5 13" xfId="2958"/>
    <cellStyle name="Normal 5 14" xfId="31256"/>
    <cellStyle name="Normal 5 15" xfId="31257"/>
    <cellStyle name="Normal 5 16" xfId="31258"/>
    <cellStyle name="Normal 5 17" xfId="31259"/>
    <cellStyle name="Normal 5 2" xfId="2959"/>
    <cellStyle name="Normal 5 2 2" xfId="2960"/>
    <cellStyle name="Normal 5 2 3" xfId="2961"/>
    <cellStyle name="Normal 5 2 4" xfId="2962"/>
    <cellStyle name="Normal 5 2 5" xfId="2963"/>
    <cellStyle name="Normal 5 2 6" xfId="31260"/>
    <cellStyle name="Normal 5 2 7" xfId="31261"/>
    <cellStyle name="Normal 5 2 8" xfId="31262"/>
    <cellStyle name="Normal 5 3" xfId="2964"/>
    <cellStyle name="Normal 5 3 2" xfId="2965"/>
    <cellStyle name="Normal 5 3 3" xfId="2966"/>
    <cellStyle name="Normal 5 3 4" xfId="2967"/>
    <cellStyle name="Normal 5 3 5" xfId="2968"/>
    <cellStyle name="Normal 5 3 6" xfId="31263"/>
    <cellStyle name="Normal 5 3 7" xfId="31264"/>
    <cellStyle name="Normal 5 3 8" xfId="31265"/>
    <cellStyle name="Normal 5 4" xfId="2969"/>
    <cellStyle name="Normal 5 4 2" xfId="2970"/>
    <cellStyle name="Normal 5 4 3" xfId="2971"/>
    <cellStyle name="Normal 5 4 4" xfId="2972"/>
    <cellStyle name="Normal 5 4 5" xfId="2973"/>
    <cellStyle name="Normal 5 4 6" xfId="31266"/>
    <cellStyle name="Normal 5 4 7" xfId="31267"/>
    <cellStyle name="Normal 5 4 8" xfId="31268"/>
    <cellStyle name="Normal 5 5" xfId="2974"/>
    <cellStyle name="Normal 5 5 2" xfId="2975"/>
    <cellStyle name="Normal 5 5 3" xfId="2976"/>
    <cellStyle name="Normal 5 5 4" xfId="2977"/>
    <cellStyle name="Normal 5 5 5" xfId="2978"/>
    <cellStyle name="Normal 5 5 6" xfId="31269"/>
    <cellStyle name="Normal 5 5 7" xfId="31270"/>
    <cellStyle name="Normal 5 5 8" xfId="31271"/>
    <cellStyle name="Normal 5 6" xfId="2979"/>
    <cellStyle name="Normal 5 6 2" xfId="2980"/>
    <cellStyle name="Normal 5 6 3" xfId="2981"/>
    <cellStyle name="Normal 5 6 4" xfId="2982"/>
    <cellStyle name="Normal 5 6 5" xfId="2983"/>
    <cellStyle name="Normal 5 6 6" xfId="31272"/>
    <cellStyle name="Normal 5 6 7" xfId="31273"/>
    <cellStyle name="Normal 5 6 8" xfId="31274"/>
    <cellStyle name="Normal 5 7" xfId="2984"/>
    <cellStyle name="Normal 5 7 2" xfId="2985"/>
    <cellStyle name="Normal 5 7 3" xfId="2986"/>
    <cellStyle name="Normal 5 7 4" xfId="2987"/>
    <cellStyle name="Normal 5 7 5" xfId="2988"/>
    <cellStyle name="Normal 5 7 6" xfId="31275"/>
    <cellStyle name="Normal 5 7 7" xfId="31276"/>
    <cellStyle name="Normal 5 7 8" xfId="31277"/>
    <cellStyle name="Normal 5 8" xfId="2989"/>
    <cellStyle name="Normal 5 8 2" xfId="2990"/>
    <cellStyle name="Normal 5 8 3" xfId="2991"/>
    <cellStyle name="Normal 5 8 4" xfId="2992"/>
    <cellStyle name="Normal 5 8 5" xfId="2993"/>
    <cellStyle name="Normal 5 8 6" xfId="31278"/>
    <cellStyle name="Normal 5 8 7" xfId="31279"/>
    <cellStyle name="Normal 5 8 8" xfId="31280"/>
    <cellStyle name="Normal 5 9" xfId="2994"/>
    <cellStyle name="Normal 5 9 2" xfId="2995"/>
    <cellStyle name="Normal 5 9 3" xfId="2996"/>
    <cellStyle name="Normal 5 9 4" xfId="2997"/>
    <cellStyle name="Normal 5 9 5" xfId="2998"/>
    <cellStyle name="Normal 5 9 6" xfId="31281"/>
    <cellStyle name="Normal 5 9 7" xfId="31282"/>
    <cellStyle name="Normal 5 9 8" xfId="31283"/>
    <cellStyle name="Normal 50" xfId="31284"/>
    <cellStyle name="Normal 51" xfId="31285"/>
    <cellStyle name="Normal 52" xfId="31286"/>
    <cellStyle name="Normal 52 2" xfId="40352"/>
    <cellStyle name="Normal 53" xfId="31287"/>
    <cellStyle name="Normal 53 2" xfId="40353"/>
    <cellStyle name="Normal 53 3" xfId="40354"/>
    <cellStyle name="Normal 54" xfId="31288"/>
    <cellStyle name="Normal 54 2" xfId="40355"/>
    <cellStyle name="Normal 55" xfId="31289"/>
    <cellStyle name="Normal 56" xfId="31290"/>
    <cellStyle name="Normal 56 2" xfId="40356"/>
    <cellStyle name="Normal 57" xfId="31291"/>
    <cellStyle name="Normal 57 2" xfId="40357"/>
    <cellStyle name="Normal 58" xfId="31292"/>
    <cellStyle name="Normal 59" xfId="31293"/>
    <cellStyle name="Normal 59 2" xfId="40358"/>
    <cellStyle name="Normal 6" xfId="2999"/>
    <cellStyle name="Normal 6 10" xfId="3000"/>
    <cellStyle name="Normal 6 11" xfId="3001"/>
    <cellStyle name="Normal 6 12" xfId="3002"/>
    <cellStyle name="Normal 6 13" xfId="3003"/>
    <cellStyle name="Normal 6 14" xfId="31294"/>
    <cellStyle name="Normal 6 15" xfId="31295"/>
    <cellStyle name="Normal 6 16" xfId="31296"/>
    <cellStyle name="Normal 6 17" xfId="31297"/>
    <cellStyle name="Normal 6 2" xfId="3004"/>
    <cellStyle name="Normal 6 2 2" xfId="3005"/>
    <cellStyle name="Normal 6 2 3" xfId="3006"/>
    <cellStyle name="Normal 6 2 4" xfId="3007"/>
    <cellStyle name="Normal 6 2 5" xfId="3008"/>
    <cellStyle name="Normal 6 2 6" xfId="31298"/>
    <cellStyle name="Normal 6 2 7" xfId="31299"/>
    <cellStyle name="Normal 6 2 8" xfId="31300"/>
    <cellStyle name="Normal 6 3" xfId="3009"/>
    <cellStyle name="Normal 6 3 2" xfId="3010"/>
    <cellStyle name="Normal 6 3 3" xfId="3011"/>
    <cellStyle name="Normal 6 3 4" xfId="3012"/>
    <cellStyle name="Normal 6 3 5" xfId="3013"/>
    <cellStyle name="Normal 6 3 6" xfId="31301"/>
    <cellStyle name="Normal 6 3 7" xfId="31302"/>
    <cellStyle name="Normal 6 3 8" xfId="31303"/>
    <cellStyle name="Normal 6 4" xfId="3014"/>
    <cellStyle name="Normal 6 4 2" xfId="3015"/>
    <cellStyle name="Normal 6 4 3" xfId="3016"/>
    <cellStyle name="Normal 6 4 4" xfId="3017"/>
    <cellStyle name="Normal 6 4 5" xfId="3018"/>
    <cellStyle name="Normal 6 4 6" xfId="31304"/>
    <cellStyle name="Normal 6 4 7" xfId="31305"/>
    <cellStyle name="Normal 6 4 8" xfId="31306"/>
    <cellStyle name="Normal 6 5" xfId="3019"/>
    <cellStyle name="Normal 6 5 2" xfId="3020"/>
    <cellStyle name="Normal 6 5 3" xfId="3021"/>
    <cellStyle name="Normal 6 5 4" xfId="3022"/>
    <cellStyle name="Normal 6 5 5" xfId="3023"/>
    <cellStyle name="Normal 6 5 6" xfId="31307"/>
    <cellStyle name="Normal 6 5 7" xfId="31308"/>
    <cellStyle name="Normal 6 5 8" xfId="31309"/>
    <cellStyle name="Normal 6 6" xfId="3024"/>
    <cellStyle name="Normal 6 6 2" xfId="3025"/>
    <cellStyle name="Normal 6 6 3" xfId="3026"/>
    <cellStyle name="Normal 6 6 4" xfId="3027"/>
    <cellStyle name="Normal 6 6 5" xfId="3028"/>
    <cellStyle name="Normal 6 6 6" xfId="31310"/>
    <cellStyle name="Normal 6 6 7" xfId="31311"/>
    <cellStyle name="Normal 6 6 8" xfId="31312"/>
    <cellStyle name="Normal 6 7" xfId="3029"/>
    <cellStyle name="Normal 6 7 2" xfId="3030"/>
    <cellStyle name="Normal 6 7 3" xfId="3031"/>
    <cellStyle name="Normal 6 7 4" xfId="3032"/>
    <cellStyle name="Normal 6 7 5" xfId="3033"/>
    <cellStyle name="Normal 6 7 6" xfId="31313"/>
    <cellStyle name="Normal 6 7 7" xfId="31314"/>
    <cellStyle name="Normal 6 7 8" xfId="31315"/>
    <cellStyle name="Normal 6 8" xfId="3034"/>
    <cellStyle name="Normal 6 8 2" xfId="3035"/>
    <cellStyle name="Normal 6 8 3" xfId="3036"/>
    <cellStyle name="Normal 6 8 4" xfId="3037"/>
    <cellStyle name="Normal 6 8 5" xfId="3038"/>
    <cellStyle name="Normal 6 8 6" xfId="31316"/>
    <cellStyle name="Normal 6 8 7" xfId="31317"/>
    <cellStyle name="Normal 6 8 8" xfId="31318"/>
    <cellStyle name="Normal 6 9" xfId="3039"/>
    <cellStyle name="Normal 6 9 2" xfId="3040"/>
    <cellStyle name="Normal 6 9 3" xfId="3041"/>
    <cellStyle name="Normal 6 9 4" xfId="3042"/>
    <cellStyle name="Normal 6 9 5" xfId="3043"/>
    <cellStyle name="Normal 6 9 6" xfId="31319"/>
    <cellStyle name="Normal 6 9 7" xfId="31320"/>
    <cellStyle name="Normal 6 9 8" xfId="31321"/>
    <cellStyle name="Normal 60" xfId="31322"/>
    <cellStyle name="Normal 61" xfId="31323"/>
    <cellStyle name="Normal 61 2" xfId="40359"/>
    <cellStyle name="Normal 62" xfId="31324"/>
    <cellStyle name="Normal 62 2" xfId="40360"/>
    <cellStyle name="Normal 63" xfId="31325"/>
    <cellStyle name="Normal 63 2" xfId="40361"/>
    <cellStyle name="Normal 64" xfId="31326"/>
    <cellStyle name="Normal 65" xfId="31327"/>
    <cellStyle name="Normal 65 2" xfId="40362"/>
    <cellStyle name="Normal 66" xfId="31328"/>
    <cellStyle name="Normal 67" xfId="31329"/>
    <cellStyle name="Normal 67 2" xfId="40363"/>
    <cellStyle name="Normal 68" xfId="31330"/>
    <cellStyle name="Normal 68 2" xfId="40364"/>
    <cellStyle name="Normal 69" xfId="31331"/>
    <cellStyle name="Normal 69 2" xfId="40365"/>
    <cellStyle name="Normal 7" xfId="3044"/>
    <cellStyle name="Normal 7 10" xfId="3045"/>
    <cellStyle name="Normal 7 11" xfId="3046"/>
    <cellStyle name="Normal 7 12" xfId="3047"/>
    <cellStyle name="Normal 7 13" xfId="3048"/>
    <cellStyle name="Normal 7 14" xfId="31332"/>
    <cellStyle name="Normal 7 15" xfId="31333"/>
    <cellStyle name="Normal 7 16" xfId="31334"/>
    <cellStyle name="Normal 7 2" xfId="3049"/>
    <cellStyle name="Normal 7 2 2" xfId="3050"/>
    <cellStyle name="Normal 7 2 3" xfId="3051"/>
    <cellStyle name="Normal 7 2 4" xfId="3052"/>
    <cellStyle name="Normal 7 2 5" xfId="3053"/>
    <cellStyle name="Normal 7 2 6" xfId="31335"/>
    <cellStyle name="Normal 7 2 7" xfId="31336"/>
    <cellStyle name="Normal 7 2 8" xfId="31337"/>
    <cellStyle name="Normal 7 2 9" xfId="31338"/>
    <cellStyle name="Normal 7 3" xfId="3054"/>
    <cellStyle name="Normal 7 3 2" xfId="3055"/>
    <cellStyle name="Normal 7 3 3" xfId="3056"/>
    <cellStyle name="Normal 7 3 4" xfId="3057"/>
    <cellStyle name="Normal 7 3 5" xfId="3058"/>
    <cellStyle name="Normal 7 3 6" xfId="31339"/>
    <cellStyle name="Normal 7 3 7" xfId="31340"/>
    <cellStyle name="Normal 7 3 8" xfId="31341"/>
    <cellStyle name="Normal 7 4" xfId="3059"/>
    <cellStyle name="Normal 7 4 2" xfId="3060"/>
    <cellStyle name="Normal 7 4 3" xfId="3061"/>
    <cellStyle name="Normal 7 4 4" xfId="3062"/>
    <cellStyle name="Normal 7 4 5" xfId="3063"/>
    <cellStyle name="Normal 7 4 6" xfId="31342"/>
    <cellStyle name="Normal 7 4 7" xfId="31343"/>
    <cellStyle name="Normal 7 4 8" xfId="31344"/>
    <cellStyle name="Normal 7 5" xfId="3064"/>
    <cellStyle name="Normal 7 5 2" xfId="3065"/>
    <cellStyle name="Normal 7 5 3" xfId="3066"/>
    <cellStyle name="Normal 7 5 4" xfId="3067"/>
    <cellStyle name="Normal 7 5 5" xfId="3068"/>
    <cellStyle name="Normal 7 5 6" xfId="31345"/>
    <cellStyle name="Normal 7 5 7" xfId="31346"/>
    <cellStyle name="Normal 7 5 8" xfId="31347"/>
    <cellStyle name="Normal 7 6" xfId="3069"/>
    <cellStyle name="Normal 7 6 2" xfId="3070"/>
    <cellStyle name="Normal 7 6 3" xfId="3071"/>
    <cellStyle name="Normal 7 6 4" xfId="3072"/>
    <cellStyle name="Normal 7 6 5" xfId="3073"/>
    <cellStyle name="Normal 7 6 6" xfId="31348"/>
    <cellStyle name="Normal 7 6 7" xfId="31349"/>
    <cellStyle name="Normal 7 6 8" xfId="31350"/>
    <cellStyle name="Normal 7 7" xfId="3074"/>
    <cellStyle name="Normal 7 7 2" xfId="3075"/>
    <cellStyle name="Normal 7 7 3" xfId="3076"/>
    <cellStyle name="Normal 7 7 4" xfId="3077"/>
    <cellStyle name="Normal 7 7 5" xfId="3078"/>
    <cellStyle name="Normal 7 7 6" xfId="31351"/>
    <cellStyle name="Normal 7 7 7" xfId="31352"/>
    <cellStyle name="Normal 7 7 8" xfId="31353"/>
    <cellStyle name="Normal 7 8" xfId="3079"/>
    <cellStyle name="Normal 7 8 2" xfId="3080"/>
    <cellStyle name="Normal 7 8 3" xfId="3081"/>
    <cellStyle name="Normal 7 8 4" xfId="3082"/>
    <cellStyle name="Normal 7 8 5" xfId="3083"/>
    <cellStyle name="Normal 7 8 6" xfId="31354"/>
    <cellStyle name="Normal 7 8 7" xfId="31355"/>
    <cellStyle name="Normal 7 8 8" xfId="31356"/>
    <cellStyle name="Normal 7 9" xfId="3084"/>
    <cellStyle name="Normal 7 9 2" xfId="3085"/>
    <cellStyle name="Normal 7 9 3" xfId="3086"/>
    <cellStyle name="Normal 7 9 4" xfId="3087"/>
    <cellStyle name="Normal 7 9 5" xfId="3088"/>
    <cellStyle name="Normal 7 9 6" xfId="31357"/>
    <cellStyle name="Normal 7 9 7" xfId="31358"/>
    <cellStyle name="Normal 7 9 8" xfId="31359"/>
    <cellStyle name="Normal 70" xfId="31360"/>
    <cellStyle name="Normal 70 2" xfId="40366"/>
    <cellStyle name="Normal 70 3" xfId="40367"/>
    <cellStyle name="Normal 71" xfId="31361"/>
    <cellStyle name="Normal 71 2" xfId="40368"/>
    <cellStyle name="Normal 72" xfId="31362"/>
    <cellStyle name="Normal 72 2" xfId="40369"/>
    <cellStyle name="Normal 73" xfId="31363"/>
    <cellStyle name="Normal 73 2" xfId="40370"/>
    <cellStyle name="Normal 74" xfId="31364"/>
    <cellStyle name="Normal 74 2" xfId="40371"/>
    <cellStyle name="Normal 74 3" xfId="40372"/>
    <cellStyle name="Normal 75" xfId="31365"/>
    <cellStyle name="Normal 75 2" xfId="40373"/>
    <cellStyle name="Normal 76" xfId="31366"/>
    <cellStyle name="Normal 77" xfId="31367"/>
    <cellStyle name="Normal 78" xfId="31368"/>
    <cellStyle name="Normal 79" xfId="31369"/>
    <cellStyle name="Normal 8" xfId="3089"/>
    <cellStyle name="Normal 8 10" xfId="3090"/>
    <cellStyle name="Normal 8 10 2" xfId="3091"/>
    <cellStyle name="Normal 8 10 2 2" xfId="3092"/>
    <cellStyle name="Normal 8 10 2 2 2" xfId="3093"/>
    <cellStyle name="Normal 8 10 2 2 2 2" xfId="31370"/>
    <cellStyle name="Normal 8 10 2 2 2 2 2" xfId="31371"/>
    <cellStyle name="Normal 8 10 2 2 2 2 3" xfId="31372"/>
    <cellStyle name="Normal 8 10 2 2 2 2 4" xfId="31373"/>
    <cellStyle name="Normal 8 10 2 2 2 3" xfId="31374"/>
    <cellStyle name="Normal 8 10 2 2 2 4" xfId="31375"/>
    <cellStyle name="Normal 8 10 2 2 2 5" xfId="31376"/>
    <cellStyle name="Normal 8 10 2 2 3" xfId="3094"/>
    <cellStyle name="Normal 8 10 2 2 3 2" xfId="31377"/>
    <cellStyle name="Normal 8 10 2 2 3 2 2" xfId="31378"/>
    <cellStyle name="Normal 8 10 2 2 3 2 3" xfId="31379"/>
    <cellStyle name="Normal 8 10 2 2 3 2 4" xfId="31380"/>
    <cellStyle name="Normal 8 10 2 2 3 3" xfId="31381"/>
    <cellStyle name="Normal 8 10 2 2 3 4" xfId="31382"/>
    <cellStyle name="Normal 8 10 2 2 3 5" xfId="31383"/>
    <cellStyle name="Normal 8 10 2 2 4" xfId="31384"/>
    <cellStyle name="Normal 8 10 2 2 4 2" xfId="31385"/>
    <cellStyle name="Normal 8 10 2 2 4 3" xfId="31386"/>
    <cellStyle name="Normal 8 10 2 2 4 4" xfId="31387"/>
    <cellStyle name="Normal 8 10 2 2 5" xfId="31388"/>
    <cellStyle name="Normal 8 10 2 2 6" xfId="31389"/>
    <cellStyle name="Normal 8 10 2 2 7" xfId="31390"/>
    <cellStyle name="Normal 8 10 2 3" xfId="3095"/>
    <cellStyle name="Normal 8 10 2 3 2" xfId="31391"/>
    <cellStyle name="Normal 8 10 2 3 2 2" xfId="31392"/>
    <cellStyle name="Normal 8 10 2 3 2 3" xfId="31393"/>
    <cellStyle name="Normal 8 10 2 3 2 4" xfId="31394"/>
    <cellStyle name="Normal 8 10 2 3 3" xfId="31395"/>
    <cellStyle name="Normal 8 10 2 3 4" xfId="31396"/>
    <cellStyle name="Normal 8 10 2 3 5" xfId="31397"/>
    <cellStyle name="Normal 8 10 2 4" xfId="3096"/>
    <cellStyle name="Normal 8 10 2 4 2" xfId="31398"/>
    <cellStyle name="Normal 8 10 2 4 2 2" xfId="31399"/>
    <cellStyle name="Normal 8 10 2 4 2 3" xfId="31400"/>
    <cellStyle name="Normal 8 10 2 4 2 4" xfId="31401"/>
    <cellStyle name="Normal 8 10 2 4 3" xfId="31402"/>
    <cellStyle name="Normal 8 10 2 4 4" xfId="31403"/>
    <cellStyle name="Normal 8 10 2 4 5" xfId="31404"/>
    <cellStyle name="Normal 8 10 2 5" xfId="31405"/>
    <cellStyle name="Normal 8 10 2 5 2" xfId="31406"/>
    <cellStyle name="Normal 8 10 2 5 3" xfId="31407"/>
    <cellStyle name="Normal 8 10 2 5 4" xfId="31408"/>
    <cellStyle name="Normal 8 10 2 6" xfId="31409"/>
    <cellStyle name="Normal 8 10 2 7" xfId="31410"/>
    <cellStyle name="Normal 8 10 2 8" xfId="31411"/>
    <cellStyle name="Normal 8 10 3" xfId="3097"/>
    <cellStyle name="Normal 8 10 3 2" xfId="3098"/>
    <cellStyle name="Normal 8 10 3 2 2" xfId="31412"/>
    <cellStyle name="Normal 8 10 3 2 2 2" xfId="31413"/>
    <cellStyle name="Normal 8 10 3 2 2 3" xfId="31414"/>
    <cellStyle name="Normal 8 10 3 2 2 4" xfId="31415"/>
    <cellStyle name="Normal 8 10 3 2 3" xfId="31416"/>
    <cellStyle name="Normal 8 10 3 2 4" xfId="31417"/>
    <cellStyle name="Normal 8 10 3 2 5" xfId="31418"/>
    <cellStyle name="Normal 8 10 3 3" xfId="3099"/>
    <cellStyle name="Normal 8 10 3 3 2" xfId="31419"/>
    <cellStyle name="Normal 8 10 3 3 2 2" xfId="31420"/>
    <cellStyle name="Normal 8 10 3 3 2 3" xfId="31421"/>
    <cellStyle name="Normal 8 10 3 3 2 4" xfId="31422"/>
    <cellStyle name="Normal 8 10 3 3 3" xfId="31423"/>
    <cellStyle name="Normal 8 10 3 3 4" xfId="31424"/>
    <cellStyle name="Normal 8 10 3 3 5" xfId="31425"/>
    <cellStyle name="Normal 8 10 3 4" xfId="31426"/>
    <cellStyle name="Normal 8 10 3 4 2" xfId="31427"/>
    <cellStyle name="Normal 8 10 3 4 3" xfId="31428"/>
    <cellStyle name="Normal 8 10 3 4 4" xfId="31429"/>
    <cellStyle name="Normal 8 10 3 5" xfId="31430"/>
    <cellStyle name="Normal 8 10 3 6" xfId="31431"/>
    <cellStyle name="Normal 8 10 3 7" xfId="31432"/>
    <cellStyle name="Normal 8 10 4" xfId="3100"/>
    <cellStyle name="Normal 8 10 4 2" xfId="31433"/>
    <cellStyle name="Normal 8 10 4 2 2" xfId="31434"/>
    <cellStyle name="Normal 8 10 4 2 3" xfId="31435"/>
    <cellStyle name="Normal 8 10 4 2 4" xfId="31436"/>
    <cellStyle name="Normal 8 10 4 3" xfId="31437"/>
    <cellStyle name="Normal 8 10 4 4" xfId="31438"/>
    <cellStyle name="Normal 8 10 4 5" xfId="31439"/>
    <cellStyle name="Normal 8 10 5" xfId="3101"/>
    <cellStyle name="Normal 8 10 5 2" xfId="31440"/>
    <cellStyle name="Normal 8 10 5 2 2" xfId="31441"/>
    <cellStyle name="Normal 8 10 5 2 3" xfId="31442"/>
    <cellStyle name="Normal 8 10 5 2 4" xfId="31443"/>
    <cellStyle name="Normal 8 10 5 3" xfId="31444"/>
    <cellStyle name="Normal 8 10 5 4" xfId="31445"/>
    <cellStyle name="Normal 8 10 5 5" xfId="31446"/>
    <cellStyle name="Normal 8 10 6" xfId="31447"/>
    <cellStyle name="Normal 8 10 6 2" xfId="31448"/>
    <cellStyle name="Normal 8 10 6 3" xfId="31449"/>
    <cellStyle name="Normal 8 10 6 4" xfId="31450"/>
    <cellStyle name="Normal 8 10 7" xfId="31451"/>
    <cellStyle name="Normal 8 10 8" xfId="31452"/>
    <cellStyle name="Normal 8 10 9" xfId="31453"/>
    <cellStyle name="Normal 8 11" xfId="3102"/>
    <cellStyle name="Normal 8 11 2" xfId="3103"/>
    <cellStyle name="Normal 8 11 2 2" xfId="3104"/>
    <cellStyle name="Normal 8 11 2 2 2" xfId="3105"/>
    <cellStyle name="Normal 8 11 2 2 2 2" xfId="31454"/>
    <cellStyle name="Normal 8 11 2 2 2 2 2" xfId="31455"/>
    <cellStyle name="Normal 8 11 2 2 2 2 3" xfId="31456"/>
    <cellStyle name="Normal 8 11 2 2 2 2 4" xfId="31457"/>
    <cellStyle name="Normal 8 11 2 2 2 3" xfId="31458"/>
    <cellStyle name="Normal 8 11 2 2 2 4" xfId="31459"/>
    <cellStyle name="Normal 8 11 2 2 2 5" xfId="31460"/>
    <cellStyle name="Normal 8 11 2 2 3" xfId="3106"/>
    <cellStyle name="Normal 8 11 2 2 3 2" xfId="31461"/>
    <cellStyle name="Normal 8 11 2 2 3 2 2" xfId="31462"/>
    <cellStyle name="Normal 8 11 2 2 3 2 3" xfId="31463"/>
    <cellStyle name="Normal 8 11 2 2 3 2 4" xfId="31464"/>
    <cellStyle name="Normal 8 11 2 2 3 3" xfId="31465"/>
    <cellStyle name="Normal 8 11 2 2 3 4" xfId="31466"/>
    <cellStyle name="Normal 8 11 2 2 3 5" xfId="31467"/>
    <cellStyle name="Normal 8 11 2 2 4" xfId="31468"/>
    <cellStyle name="Normal 8 11 2 2 4 2" xfId="31469"/>
    <cellStyle name="Normal 8 11 2 2 4 3" xfId="31470"/>
    <cellStyle name="Normal 8 11 2 2 4 4" xfId="31471"/>
    <cellStyle name="Normal 8 11 2 2 5" xfId="31472"/>
    <cellStyle name="Normal 8 11 2 2 6" xfId="31473"/>
    <cellStyle name="Normal 8 11 2 2 7" xfId="31474"/>
    <cellStyle name="Normal 8 11 2 3" xfId="3107"/>
    <cellStyle name="Normal 8 11 2 3 2" xfId="31475"/>
    <cellStyle name="Normal 8 11 2 3 2 2" xfId="31476"/>
    <cellStyle name="Normal 8 11 2 3 2 3" xfId="31477"/>
    <cellStyle name="Normal 8 11 2 3 2 4" xfId="31478"/>
    <cellStyle name="Normal 8 11 2 3 3" xfId="31479"/>
    <cellStyle name="Normal 8 11 2 3 4" xfId="31480"/>
    <cellStyle name="Normal 8 11 2 3 5" xfId="31481"/>
    <cellStyle name="Normal 8 11 2 4" xfId="3108"/>
    <cellStyle name="Normal 8 11 2 4 2" xfId="31482"/>
    <cellStyle name="Normal 8 11 2 4 2 2" xfId="31483"/>
    <cellStyle name="Normal 8 11 2 4 2 3" xfId="31484"/>
    <cellStyle name="Normal 8 11 2 4 2 4" xfId="31485"/>
    <cellStyle name="Normal 8 11 2 4 3" xfId="31486"/>
    <cellStyle name="Normal 8 11 2 4 4" xfId="31487"/>
    <cellStyle name="Normal 8 11 2 4 5" xfId="31488"/>
    <cellStyle name="Normal 8 11 2 5" xfId="31489"/>
    <cellStyle name="Normal 8 11 2 5 2" xfId="31490"/>
    <cellStyle name="Normal 8 11 2 5 3" xfId="31491"/>
    <cellStyle name="Normal 8 11 2 5 4" xfId="31492"/>
    <cellStyle name="Normal 8 11 2 6" xfId="31493"/>
    <cellStyle name="Normal 8 11 2 7" xfId="31494"/>
    <cellStyle name="Normal 8 11 2 8" xfId="31495"/>
    <cellStyle name="Normal 8 11 3" xfId="3109"/>
    <cellStyle name="Normal 8 11 3 2" xfId="3110"/>
    <cellStyle name="Normal 8 11 3 2 2" xfId="31496"/>
    <cellStyle name="Normal 8 11 3 2 2 2" xfId="31497"/>
    <cellStyle name="Normal 8 11 3 2 2 3" xfId="31498"/>
    <cellStyle name="Normal 8 11 3 2 2 4" xfId="31499"/>
    <cellStyle name="Normal 8 11 3 2 3" xfId="31500"/>
    <cellStyle name="Normal 8 11 3 2 4" xfId="31501"/>
    <cellStyle name="Normal 8 11 3 2 5" xfId="31502"/>
    <cellStyle name="Normal 8 11 3 3" xfId="3111"/>
    <cellStyle name="Normal 8 11 3 3 2" xfId="31503"/>
    <cellStyle name="Normal 8 11 3 3 2 2" xfId="31504"/>
    <cellStyle name="Normal 8 11 3 3 2 3" xfId="31505"/>
    <cellStyle name="Normal 8 11 3 3 2 4" xfId="31506"/>
    <cellStyle name="Normal 8 11 3 3 3" xfId="31507"/>
    <cellStyle name="Normal 8 11 3 3 4" xfId="31508"/>
    <cellStyle name="Normal 8 11 3 3 5" xfId="31509"/>
    <cellStyle name="Normal 8 11 3 4" xfId="31510"/>
    <cellStyle name="Normal 8 11 3 4 2" xfId="31511"/>
    <cellStyle name="Normal 8 11 3 4 3" xfId="31512"/>
    <cellStyle name="Normal 8 11 3 4 4" xfId="31513"/>
    <cellStyle name="Normal 8 11 3 5" xfId="31514"/>
    <cellStyle name="Normal 8 11 3 6" xfId="31515"/>
    <cellStyle name="Normal 8 11 3 7" xfId="31516"/>
    <cellStyle name="Normal 8 11 4" xfId="3112"/>
    <cellStyle name="Normal 8 11 4 2" xfId="31517"/>
    <cellStyle name="Normal 8 11 4 2 2" xfId="31518"/>
    <cellStyle name="Normal 8 11 4 2 3" xfId="31519"/>
    <cellStyle name="Normal 8 11 4 2 4" xfId="31520"/>
    <cellStyle name="Normal 8 11 4 3" xfId="31521"/>
    <cellStyle name="Normal 8 11 4 4" xfId="31522"/>
    <cellStyle name="Normal 8 11 4 5" xfId="31523"/>
    <cellStyle name="Normal 8 11 5" xfId="3113"/>
    <cellStyle name="Normal 8 11 5 2" xfId="31524"/>
    <cellStyle name="Normal 8 11 5 2 2" xfId="31525"/>
    <cellStyle name="Normal 8 11 5 2 3" xfId="31526"/>
    <cellStyle name="Normal 8 11 5 2 4" xfId="31527"/>
    <cellStyle name="Normal 8 11 5 3" xfId="31528"/>
    <cellStyle name="Normal 8 11 5 4" xfId="31529"/>
    <cellStyle name="Normal 8 11 5 5" xfId="31530"/>
    <cellStyle name="Normal 8 11 6" xfId="31531"/>
    <cellStyle name="Normal 8 11 6 2" xfId="31532"/>
    <cellStyle name="Normal 8 11 6 3" xfId="31533"/>
    <cellStyle name="Normal 8 11 6 4" xfId="31534"/>
    <cellStyle name="Normal 8 11 7" xfId="31535"/>
    <cellStyle name="Normal 8 11 8" xfId="31536"/>
    <cellStyle name="Normal 8 11 9" xfId="31537"/>
    <cellStyle name="Normal 8 12" xfId="3114"/>
    <cellStyle name="Normal 8 12 2" xfId="3115"/>
    <cellStyle name="Normal 8 12 2 2" xfId="3116"/>
    <cellStyle name="Normal 8 12 2 2 2" xfId="3117"/>
    <cellStyle name="Normal 8 12 2 2 2 2" xfId="31538"/>
    <cellStyle name="Normal 8 12 2 2 2 2 2" xfId="31539"/>
    <cellStyle name="Normal 8 12 2 2 2 2 3" xfId="31540"/>
    <cellStyle name="Normal 8 12 2 2 2 2 4" xfId="31541"/>
    <cellStyle name="Normal 8 12 2 2 2 3" xfId="31542"/>
    <cellStyle name="Normal 8 12 2 2 2 4" xfId="31543"/>
    <cellStyle name="Normal 8 12 2 2 2 5" xfId="31544"/>
    <cellStyle name="Normal 8 12 2 2 3" xfId="3118"/>
    <cellStyle name="Normal 8 12 2 2 3 2" xfId="31545"/>
    <cellStyle name="Normal 8 12 2 2 3 2 2" xfId="31546"/>
    <cellStyle name="Normal 8 12 2 2 3 2 3" xfId="31547"/>
    <cellStyle name="Normal 8 12 2 2 3 2 4" xfId="31548"/>
    <cellStyle name="Normal 8 12 2 2 3 3" xfId="31549"/>
    <cellStyle name="Normal 8 12 2 2 3 4" xfId="31550"/>
    <cellStyle name="Normal 8 12 2 2 3 5" xfId="31551"/>
    <cellStyle name="Normal 8 12 2 2 4" xfId="31552"/>
    <cellStyle name="Normal 8 12 2 2 4 2" xfId="31553"/>
    <cellStyle name="Normal 8 12 2 2 4 3" xfId="31554"/>
    <cellStyle name="Normal 8 12 2 2 4 4" xfId="31555"/>
    <cellStyle name="Normal 8 12 2 2 5" xfId="31556"/>
    <cellStyle name="Normal 8 12 2 2 6" xfId="31557"/>
    <cellStyle name="Normal 8 12 2 2 7" xfId="31558"/>
    <cellStyle name="Normal 8 12 2 3" xfId="3119"/>
    <cellStyle name="Normal 8 12 2 3 2" xfId="31559"/>
    <cellStyle name="Normal 8 12 2 3 2 2" xfId="31560"/>
    <cellStyle name="Normal 8 12 2 3 2 3" xfId="31561"/>
    <cellStyle name="Normal 8 12 2 3 2 4" xfId="31562"/>
    <cellStyle name="Normal 8 12 2 3 3" xfId="31563"/>
    <cellStyle name="Normal 8 12 2 3 4" xfId="31564"/>
    <cellStyle name="Normal 8 12 2 3 5" xfId="31565"/>
    <cellStyle name="Normal 8 12 2 4" xfId="3120"/>
    <cellStyle name="Normal 8 12 2 4 2" xfId="31566"/>
    <cellStyle name="Normal 8 12 2 4 2 2" xfId="31567"/>
    <cellStyle name="Normal 8 12 2 4 2 3" xfId="31568"/>
    <cellStyle name="Normal 8 12 2 4 2 4" xfId="31569"/>
    <cellStyle name="Normal 8 12 2 4 3" xfId="31570"/>
    <cellStyle name="Normal 8 12 2 4 4" xfId="31571"/>
    <cellStyle name="Normal 8 12 2 4 5" xfId="31572"/>
    <cellStyle name="Normal 8 12 2 5" xfId="31573"/>
    <cellStyle name="Normal 8 12 2 5 2" xfId="31574"/>
    <cellStyle name="Normal 8 12 2 5 3" xfId="31575"/>
    <cellStyle name="Normal 8 12 2 5 4" xfId="31576"/>
    <cellStyle name="Normal 8 12 2 6" xfId="31577"/>
    <cellStyle name="Normal 8 12 2 7" xfId="31578"/>
    <cellStyle name="Normal 8 12 2 8" xfId="31579"/>
    <cellStyle name="Normal 8 12 3" xfId="3121"/>
    <cellStyle name="Normal 8 12 3 2" xfId="3122"/>
    <cellStyle name="Normal 8 12 3 2 2" xfId="31580"/>
    <cellStyle name="Normal 8 12 3 2 2 2" xfId="31581"/>
    <cellStyle name="Normal 8 12 3 2 2 3" xfId="31582"/>
    <cellStyle name="Normal 8 12 3 2 2 4" xfId="31583"/>
    <cellStyle name="Normal 8 12 3 2 3" xfId="31584"/>
    <cellStyle name="Normal 8 12 3 2 4" xfId="31585"/>
    <cellStyle name="Normal 8 12 3 2 5" xfId="31586"/>
    <cellStyle name="Normal 8 12 3 3" xfId="3123"/>
    <cellStyle name="Normal 8 12 3 3 2" xfId="31587"/>
    <cellStyle name="Normal 8 12 3 3 2 2" xfId="31588"/>
    <cellStyle name="Normal 8 12 3 3 2 3" xfId="31589"/>
    <cellStyle name="Normal 8 12 3 3 2 4" xfId="31590"/>
    <cellStyle name="Normal 8 12 3 3 3" xfId="31591"/>
    <cellStyle name="Normal 8 12 3 3 4" xfId="31592"/>
    <cellStyle name="Normal 8 12 3 3 5" xfId="31593"/>
    <cellStyle name="Normal 8 12 3 4" xfId="31594"/>
    <cellStyle name="Normal 8 12 3 4 2" xfId="31595"/>
    <cellStyle name="Normal 8 12 3 4 3" xfId="31596"/>
    <cellStyle name="Normal 8 12 3 4 4" xfId="31597"/>
    <cellStyle name="Normal 8 12 3 5" xfId="31598"/>
    <cellStyle name="Normal 8 12 3 6" xfId="31599"/>
    <cellStyle name="Normal 8 12 3 7" xfId="31600"/>
    <cellStyle name="Normal 8 12 4" xfId="3124"/>
    <cellStyle name="Normal 8 12 4 2" xfId="31601"/>
    <cellStyle name="Normal 8 12 4 2 2" xfId="31602"/>
    <cellStyle name="Normal 8 12 4 2 3" xfId="31603"/>
    <cellStyle name="Normal 8 12 4 2 4" xfId="31604"/>
    <cellStyle name="Normal 8 12 4 3" xfId="31605"/>
    <cellStyle name="Normal 8 12 4 4" xfId="31606"/>
    <cellStyle name="Normal 8 12 4 5" xfId="31607"/>
    <cellStyle name="Normal 8 12 5" xfId="3125"/>
    <cellStyle name="Normal 8 12 5 2" xfId="31608"/>
    <cellStyle name="Normal 8 12 5 2 2" xfId="31609"/>
    <cellStyle name="Normal 8 12 5 2 3" xfId="31610"/>
    <cellStyle name="Normal 8 12 5 2 4" xfId="31611"/>
    <cellStyle name="Normal 8 12 5 3" xfId="31612"/>
    <cellStyle name="Normal 8 12 5 4" xfId="31613"/>
    <cellStyle name="Normal 8 12 5 5" xfId="31614"/>
    <cellStyle name="Normal 8 12 6" xfId="31615"/>
    <cellStyle name="Normal 8 12 6 2" xfId="31616"/>
    <cellStyle name="Normal 8 12 6 3" xfId="31617"/>
    <cellStyle name="Normal 8 12 6 4" xfId="31618"/>
    <cellStyle name="Normal 8 12 7" xfId="31619"/>
    <cellStyle name="Normal 8 12 8" xfId="31620"/>
    <cellStyle name="Normal 8 12 9" xfId="31621"/>
    <cellStyle name="Normal 8 13" xfId="3126"/>
    <cellStyle name="Normal 8 13 2" xfId="3127"/>
    <cellStyle name="Normal 8 13 2 2" xfId="3128"/>
    <cellStyle name="Normal 8 13 2 2 2" xfId="3129"/>
    <cellStyle name="Normal 8 13 2 2 2 2" xfId="31622"/>
    <cellStyle name="Normal 8 13 2 2 2 2 2" xfId="31623"/>
    <cellStyle name="Normal 8 13 2 2 2 2 3" xfId="31624"/>
    <cellStyle name="Normal 8 13 2 2 2 2 4" xfId="31625"/>
    <cellStyle name="Normal 8 13 2 2 2 3" xfId="31626"/>
    <cellStyle name="Normal 8 13 2 2 2 4" xfId="31627"/>
    <cellStyle name="Normal 8 13 2 2 2 5" xfId="31628"/>
    <cellStyle name="Normal 8 13 2 2 3" xfId="3130"/>
    <cellStyle name="Normal 8 13 2 2 3 2" xfId="31629"/>
    <cellStyle name="Normal 8 13 2 2 3 2 2" xfId="31630"/>
    <cellStyle name="Normal 8 13 2 2 3 2 3" xfId="31631"/>
    <cellStyle name="Normal 8 13 2 2 3 2 4" xfId="31632"/>
    <cellStyle name="Normal 8 13 2 2 3 3" xfId="31633"/>
    <cellStyle name="Normal 8 13 2 2 3 4" xfId="31634"/>
    <cellStyle name="Normal 8 13 2 2 3 5" xfId="31635"/>
    <cellStyle name="Normal 8 13 2 2 4" xfId="31636"/>
    <cellStyle name="Normal 8 13 2 2 4 2" xfId="31637"/>
    <cellStyle name="Normal 8 13 2 2 4 3" xfId="31638"/>
    <cellStyle name="Normal 8 13 2 2 4 4" xfId="31639"/>
    <cellStyle name="Normal 8 13 2 2 5" xfId="31640"/>
    <cellStyle name="Normal 8 13 2 2 6" xfId="31641"/>
    <cellStyle name="Normal 8 13 2 2 7" xfId="31642"/>
    <cellStyle name="Normal 8 13 2 3" xfId="3131"/>
    <cellStyle name="Normal 8 13 2 3 2" xfId="31643"/>
    <cellStyle name="Normal 8 13 2 3 2 2" xfId="31644"/>
    <cellStyle name="Normal 8 13 2 3 2 3" xfId="31645"/>
    <cellStyle name="Normal 8 13 2 3 2 4" xfId="31646"/>
    <cellStyle name="Normal 8 13 2 3 3" xfId="31647"/>
    <cellStyle name="Normal 8 13 2 3 4" xfId="31648"/>
    <cellStyle name="Normal 8 13 2 3 5" xfId="31649"/>
    <cellStyle name="Normal 8 13 2 4" xfId="3132"/>
    <cellStyle name="Normal 8 13 2 4 2" xfId="31650"/>
    <cellStyle name="Normal 8 13 2 4 2 2" xfId="31651"/>
    <cellStyle name="Normal 8 13 2 4 2 3" xfId="31652"/>
    <cellStyle name="Normal 8 13 2 4 2 4" xfId="31653"/>
    <cellStyle name="Normal 8 13 2 4 3" xfId="31654"/>
    <cellStyle name="Normal 8 13 2 4 4" xfId="31655"/>
    <cellStyle name="Normal 8 13 2 4 5" xfId="31656"/>
    <cellStyle name="Normal 8 13 2 5" xfId="31657"/>
    <cellStyle name="Normal 8 13 2 5 2" xfId="31658"/>
    <cellStyle name="Normal 8 13 2 5 3" xfId="31659"/>
    <cellStyle name="Normal 8 13 2 5 4" xfId="31660"/>
    <cellStyle name="Normal 8 13 2 6" xfId="31661"/>
    <cellStyle name="Normal 8 13 2 7" xfId="31662"/>
    <cellStyle name="Normal 8 13 2 8" xfId="31663"/>
    <cellStyle name="Normal 8 13 3" xfId="3133"/>
    <cellStyle name="Normal 8 13 3 2" xfId="3134"/>
    <cellStyle name="Normal 8 13 3 2 2" xfId="31664"/>
    <cellStyle name="Normal 8 13 3 2 2 2" xfId="31665"/>
    <cellStyle name="Normal 8 13 3 2 2 3" xfId="31666"/>
    <cellStyle name="Normal 8 13 3 2 2 4" xfId="31667"/>
    <cellStyle name="Normal 8 13 3 2 3" xfId="31668"/>
    <cellStyle name="Normal 8 13 3 2 4" xfId="31669"/>
    <cellStyle name="Normal 8 13 3 2 5" xfId="31670"/>
    <cellStyle name="Normal 8 13 3 3" xfId="3135"/>
    <cellStyle name="Normal 8 13 3 3 2" xfId="31671"/>
    <cellStyle name="Normal 8 13 3 3 2 2" xfId="31672"/>
    <cellStyle name="Normal 8 13 3 3 2 3" xfId="31673"/>
    <cellStyle name="Normal 8 13 3 3 2 4" xfId="31674"/>
    <cellStyle name="Normal 8 13 3 3 3" xfId="31675"/>
    <cellStyle name="Normal 8 13 3 3 4" xfId="31676"/>
    <cellStyle name="Normal 8 13 3 3 5" xfId="31677"/>
    <cellStyle name="Normal 8 13 3 4" xfId="31678"/>
    <cellStyle name="Normal 8 13 3 4 2" xfId="31679"/>
    <cellStyle name="Normal 8 13 3 4 3" xfId="31680"/>
    <cellStyle name="Normal 8 13 3 4 4" xfId="31681"/>
    <cellStyle name="Normal 8 13 3 5" xfId="31682"/>
    <cellStyle name="Normal 8 13 3 6" xfId="31683"/>
    <cellStyle name="Normal 8 13 3 7" xfId="31684"/>
    <cellStyle name="Normal 8 13 4" xfId="3136"/>
    <cellStyle name="Normal 8 13 4 2" xfId="31685"/>
    <cellStyle name="Normal 8 13 4 2 2" xfId="31686"/>
    <cellStyle name="Normal 8 13 4 2 3" xfId="31687"/>
    <cellStyle name="Normal 8 13 4 2 4" xfId="31688"/>
    <cellStyle name="Normal 8 13 4 3" xfId="31689"/>
    <cellStyle name="Normal 8 13 4 4" xfId="31690"/>
    <cellStyle name="Normal 8 13 4 5" xfId="31691"/>
    <cellStyle name="Normal 8 13 5" xfId="3137"/>
    <cellStyle name="Normal 8 13 5 2" xfId="31692"/>
    <cellStyle name="Normal 8 13 5 2 2" xfId="31693"/>
    <cellStyle name="Normal 8 13 5 2 3" xfId="31694"/>
    <cellStyle name="Normal 8 13 5 2 4" xfId="31695"/>
    <cellStyle name="Normal 8 13 5 3" xfId="31696"/>
    <cellStyle name="Normal 8 13 5 4" xfId="31697"/>
    <cellStyle name="Normal 8 13 5 5" xfId="31698"/>
    <cellStyle name="Normal 8 13 6" xfId="31699"/>
    <cellStyle name="Normal 8 13 6 2" xfId="31700"/>
    <cellStyle name="Normal 8 13 6 3" xfId="31701"/>
    <cellStyle name="Normal 8 13 6 4" xfId="31702"/>
    <cellStyle name="Normal 8 13 7" xfId="31703"/>
    <cellStyle name="Normal 8 13 8" xfId="31704"/>
    <cellStyle name="Normal 8 13 9" xfId="31705"/>
    <cellStyle name="Normal 8 14" xfId="3138"/>
    <cellStyle name="Normal 8 14 2" xfId="3139"/>
    <cellStyle name="Normal 8 14 2 2" xfId="3140"/>
    <cellStyle name="Normal 8 14 2 2 2" xfId="3141"/>
    <cellStyle name="Normal 8 14 2 2 2 2" xfId="31706"/>
    <cellStyle name="Normal 8 14 2 2 2 2 2" xfId="31707"/>
    <cellStyle name="Normal 8 14 2 2 2 2 3" xfId="31708"/>
    <cellStyle name="Normal 8 14 2 2 2 2 4" xfId="31709"/>
    <cellStyle name="Normal 8 14 2 2 2 3" xfId="31710"/>
    <cellStyle name="Normal 8 14 2 2 2 4" xfId="31711"/>
    <cellStyle name="Normal 8 14 2 2 2 5" xfId="31712"/>
    <cellStyle name="Normal 8 14 2 2 3" xfId="3142"/>
    <cellStyle name="Normal 8 14 2 2 3 2" xfId="31713"/>
    <cellStyle name="Normal 8 14 2 2 3 2 2" xfId="31714"/>
    <cellStyle name="Normal 8 14 2 2 3 2 3" xfId="31715"/>
    <cellStyle name="Normal 8 14 2 2 3 2 4" xfId="31716"/>
    <cellStyle name="Normal 8 14 2 2 3 3" xfId="31717"/>
    <cellStyle name="Normal 8 14 2 2 3 4" xfId="31718"/>
    <cellStyle name="Normal 8 14 2 2 3 5" xfId="31719"/>
    <cellStyle name="Normal 8 14 2 2 4" xfId="31720"/>
    <cellStyle name="Normal 8 14 2 2 4 2" xfId="31721"/>
    <cellStyle name="Normal 8 14 2 2 4 3" xfId="31722"/>
    <cellStyle name="Normal 8 14 2 2 4 4" xfId="31723"/>
    <cellStyle name="Normal 8 14 2 2 5" xfId="31724"/>
    <cellStyle name="Normal 8 14 2 2 6" xfId="31725"/>
    <cellStyle name="Normal 8 14 2 2 7" xfId="31726"/>
    <cellStyle name="Normal 8 14 2 3" xfId="3143"/>
    <cellStyle name="Normal 8 14 2 3 2" xfId="31727"/>
    <cellStyle name="Normal 8 14 2 3 2 2" xfId="31728"/>
    <cellStyle name="Normal 8 14 2 3 2 3" xfId="31729"/>
    <cellStyle name="Normal 8 14 2 3 2 4" xfId="31730"/>
    <cellStyle name="Normal 8 14 2 3 3" xfId="31731"/>
    <cellStyle name="Normal 8 14 2 3 4" xfId="31732"/>
    <cellStyle name="Normal 8 14 2 3 5" xfId="31733"/>
    <cellStyle name="Normal 8 14 2 4" xfId="3144"/>
    <cellStyle name="Normal 8 14 2 4 2" xfId="31734"/>
    <cellStyle name="Normal 8 14 2 4 2 2" xfId="31735"/>
    <cellStyle name="Normal 8 14 2 4 2 3" xfId="31736"/>
    <cellStyle name="Normal 8 14 2 4 2 4" xfId="31737"/>
    <cellStyle name="Normal 8 14 2 4 3" xfId="31738"/>
    <cellStyle name="Normal 8 14 2 4 4" xfId="31739"/>
    <cellStyle name="Normal 8 14 2 4 5" xfId="31740"/>
    <cellStyle name="Normal 8 14 2 5" xfId="31741"/>
    <cellStyle name="Normal 8 14 2 5 2" xfId="31742"/>
    <cellStyle name="Normal 8 14 2 5 3" xfId="31743"/>
    <cellStyle name="Normal 8 14 2 5 4" xfId="31744"/>
    <cellStyle name="Normal 8 14 2 6" xfId="31745"/>
    <cellStyle name="Normal 8 14 2 7" xfId="31746"/>
    <cellStyle name="Normal 8 14 2 8" xfId="31747"/>
    <cellStyle name="Normal 8 14 3" xfId="3145"/>
    <cellStyle name="Normal 8 14 3 2" xfId="3146"/>
    <cellStyle name="Normal 8 14 3 2 2" xfId="31748"/>
    <cellStyle name="Normal 8 14 3 2 2 2" xfId="31749"/>
    <cellStyle name="Normal 8 14 3 2 2 3" xfId="31750"/>
    <cellStyle name="Normal 8 14 3 2 2 4" xfId="31751"/>
    <cellStyle name="Normal 8 14 3 2 3" xfId="31752"/>
    <cellStyle name="Normal 8 14 3 2 4" xfId="31753"/>
    <cellStyle name="Normal 8 14 3 2 5" xfId="31754"/>
    <cellStyle name="Normal 8 14 3 3" xfId="3147"/>
    <cellStyle name="Normal 8 14 3 3 2" xfId="31755"/>
    <cellStyle name="Normal 8 14 3 3 2 2" xfId="31756"/>
    <cellStyle name="Normal 8 14 3 3 2 3" xfId="31757"/>
    <cellStyle name="Normal 8 14 3 3 2 4" xfId="31758"/>
    <cellStyle name="Normal 8 14 3 3 3" xfId="31759"/>
    <cellStyle name="Normal 8 14 3 3 4" xfId="31760"/>
    <cellStyle name="Normal 8 14 3 3 5" xfId="31761"/>
    <cellStyle name="Normal 8 14 3 4" xfId="31762"/>
    <cellStyle name="Normal 8 14 3 4 2" xfId="31763"/>
    <cellStyle name="Normal 8 14 3 4 3" xfId="31764"/>
    <cellStyle name="Normal 8 14 3 4 4" xfId="31765"/>
    <cellStyle name="Normal 8 14 3 5" xfId="31766"/>
    <cellStyle name="Normal 8 14 3 6" xfId="31767"/>
    <cellStyle name="Normal 8 14 3 7" xfId="31768"/>
    <cellStyle name="Normal 8 14 4" xfId="3148"/>
    <cellStyle name="Normal 8 14 4 2" xfId="31769"/>
    <cellStyle name="Normal 8 14 4 2 2" xfId="31770"/>
    <cellStyle name="Normal 8 14 4 2 3" xfId="31771"/>
    <cellStyle name="Normal 8 14 4 2 4" xfId="31772"/>
    <cellStyle name="Normal 8 14 4 3" xfId="31773"/>
    <cellStyle name="Normal 8 14 4 4" xfId="31774"/>
    <cellStyle name="Normal 8 14 4 5" xfId="31775"/>
    <cellStyle name="Normal 8 14 5" xfId="3149"/>
    <cellStyle name="Normal 8 14 5 2" xfId="31776"/>
    <cellStyle name="Normal 8 14 5 2 2" xfId="31777"/>
    <cellStyle name="Normal 8 14 5 2 3" xfId="31778"/>
    <cellStyle name="Normal 8 14 5 2 4" xfId="31779"/>
    <cellStyle name="Normal 8 14 5 3" xfId="31780"/>
    <cellStyle name="Normal 8 14 5 4" xfId="31781"/>
    <cellStyle name="Normal 8 14 5 5" xfId="31782"/>
    <cellStyle name="Normal 8 14 6" xfId="31783"/>
    <cellStyle name="Normal 8 14 6 2" xfId="31784"/>
    <cellStyle name="Normal 8 14 6 3" xfId="31785"/>
    <cellStyle name="Normal 8 14 6 4" xfId="31786"/>
    <cellStyle name="Normal 8 14 7" xfId="31787"/>
    <cellStyle name="Normal 8 14 8" xfId="31788"/>
    <cellStyle name="Normal 8 14 9" xfId="31789"/>
    <cellStyle name="Normal 8 15" xfId="3150"/>
    <cellStyle name="Normal 8 15 2" xfId="3151"/>
    <cellStyle name="Normal 8 15 2 2" xfId="3152"/>
    <cellStyle name="Normal 8 15 2 2 2" xfId="3153"/>
    <cellStyle name="Normal 8 15 2 2 2 2" xfId="31790"/>
    <cellStyle name="Normal 8 15 2 2 2 2 2" xfId="31791"/>
    <cellStyle name="Normal 8 15 2 2 2 2 3" xfId="31792"/>
    <cellStyle name="Normal 8 15 2 2 2 2 4" xfId="31793"/>
    <cellStyle name="Normal 8 15 2 2 2 3" xfId="31794"/>
    <cellStyle name="Normal 8 15 2 2 2 4" xfId="31795"/>
    <cellStyle name="Normal 8 15 2 2 2 5" xfId="31796"/>
    <cellStyle name="Normal 8 15 2 2 3" xfId="3154"/>
    <cellStyle name="Normal 8 15 2 2 3 2" xfId="31797"/>
    <cellStyle name="Normal 8 15 2 2 3 2 2" xfId="31798"/>
    <cellStyle name="Normal 8 15 2 2 3 2 3" xfId="31799"/>
    <cellStyle name="Normal 8 15 2 2 3 2 4" xfId="31800"/>
    <cellStyle name="Normal 8 15 2 2 3 3" xfId="31801"/>
    <cellStyle name="Normal 8 15 2 2 3 4" xfId="31802"/>
    <cellStyle name="Normal 8 15 2 2 3 5" xfId="31803"/>
    <cellStyle name="Normal 8 15 2 2 4" xfId="31804"/>
    <cellStyle name="Normal 8 15 2 2 4 2" xfId="31805"/>
    <cellStyle name="Normal 8 15 2 2 4 3" xfId="31806"/>
    <cellStyle name="Normal 8 15 2 2 4 4" xfId="31807"/>
    <cellStyle name="Normal 8 15 2 2 5" xfId="31808"/>
    <cellStyle name="Normal 8 15 2 2 6" xfId="31809"/>
    <cellStyle name="Normal 8 15 2 2 7" xfId="31810"/>
    <cellStyle name="Normal 8 15 2 3" xfId="3155"/>
    <cellStyle name="Normal 8 15 2 3 2" xfId="31811"/>
    <cellStyle name="Normal 8 15 2 3 2 2" xfId="31812"/>
    <cellStyle name="Normal 8 15 2 3 2 3" xfId="31813"/>
    <cellStyle name="Normal 8 15 2 3 2 4" xfId="31814"/>
    <cellStyle name="Normal 8 15 2 3 3" xfId="31815"/>
    <cellStyle name="Normal 8 15 2 3 4" xfId="31816"/>
    <cellStyle name="Normal 8 15 2 3 5" xfId="31817"/>
    <cellStyle name="Normal 8 15 2 4" xfId="3156"/>
    <cellStyle name="Normal 8 15 2 4 2" xfId="31818"/>
    <cellStyle name="Normal 8 15 2 4 2 2" xfId="31819"/>
    <cellStyle name="Normal 8 15 2 4 2 3" xfId="31820"/>
    <cellStyle name="Normal 8 15 2 4 2 4" xfId="31821"/>
    <cellStyle name="Normal 8 15 2 4 3" xfId="31822"/>
    <cellStyle name="Normal 8 15 2 4 4" xfId="31823"/>
    <cellStyle name="Normal 8 15 2 4 5" xfId="31824"/>
    <cellStyle name="Normal 8 15 2 5" xfId="31825"/>
    <cellStyle name="Normal 8 15 2 5 2" xfId="31826"/>
    <cellStyle name="Normal 8 15 2 5 3" xfId="31827"/>
    <cellStyle name="Normal 8 15 2 5 4" xfId="31828"/>
    <cellStyle name="Normal 8 15 2 6" xfId="31829"/>
    <cellStyle name="Normal 8 15 2 7" xfId="31830"/>
    <cellStyle name="Normal 8 15 2 8" xfId="31831"/>
    <cellStyle name="Normal 8 15 3" xfId="3157"/>
    <cellStyle name="Normal 8 15 3 2" xfId="3158"/>
    <cellStyle name="Normal 8 15 3 2 2" xfId="31832"/>
    <cellStyle name="Normal 8 15 3 2 2 2" xfId="31833"/>
    <cellStyle name="Normal 8 15 3 2 2 3" xfId="31834"/>
    <cellStyle name="Normal 8 15 3 2 2 4" xfId="31835"/>
    <cellStyle name="Normal 8 15 3 2 3" xfId="31836"/>
    <cellStyle name="Normal 8 15 3 2 4" xfId="31837"/>
    <cellStyle name="Normal 8 15 3 2 5" xfId="31838"/>
    <cellStyle name="Normal 8 15 3 3" xfId="3159"/>
    <cellStyle name="Normal 8 15 3 3 2" xfId="31839"/>
    <cellStyle name="Normal 8 15 3 3 2 2" xfId="31840"/>
    <cellStyle name="Normal 8 15 3 3 2 3" xfId="31841"/>
    <cellStyle name="Normal 8 15 3 3 2 4" xfId="31842"/>
    <cellStyle name="Normal 8 15 3 3 3" xfId="31843"/>
    <cellStyle name="Normal 8 15 3 3 4" xfId="31844"/>
    <cellStyle name="Normal 8 15 3 3 5" xfId="31845"/>
    <cellStyle name="Normal 8 15 3 4" xfId="31846"/>
    <cellStyle name="Normal 8 15 3 4 2" xfId="31847"/>
    <cellStyle name="Normal 8 15 3 4 3" xfId="31848"/>
    <cellStyle name="Normal 8 15 3 4 4" xfId="31849"/>
    <cellStyle name="Normal 8 15 3 5" xfId="31850"/>
    <cellStyle name="Normal 8 15 3 6" xfId="31851"/>
    <cellStyle name="Normal 8 15 3 7" xfId="31852"/>
    <cellStyle name="Normal 8 15 4" xfId="3160"/>
    <cellStyle name="Normal 8 15 4 2" xfId="31853"/>
    <cellStyle name="Normal 8 15 4 2 2" xfId="31854"/>
    <cellStyle name="Normal 8 15 4 2 3" xfId="31855"/>
    <cellStyle name="Normal 8 15 4 2 4" xfId="31856"/>
    <cellStyle name="Normal 8 15 4 3" xfId="31857"/>
    <cellStyle name="Normal 8 15 4 4" xfId="31858"/>
    <cellStyle name="Normal 8 15 4 5" xfId="31859"/>
    <cellStyle name="Normal 8 15 5" xfId="3161"/>
    <cellStyle name="Normal 8 15 5 2" xfId="31860"/>
    <cellStyle name="Normal 8 15 5 2 2" xfId="31861"/>
    <cellStyle name="Normal 8 15 5 2 3" xfId="31862"/>
    <cellStyle name="Normal 8 15 5 2 4" xfId="31863"/>
    <cellStyle name="Normal 8 15 5 3" xfId="31864"/>
    <cellStyle name="Normal 8 15 5 4" xfId="31865"/>
    <cellStyle name="Normal 8 15 5 5" xfId="31866"/>
    <cellStyle name="Normal 8 15 6" xfId="31867"/>
    <cellStyle name="Normal 8 15 6 2" xfId="31868"/>
    <cellStyle name="Normal 8 15 6 3" xfId="31869"/>
    <cellStyle name="Normal 8 15 6 4" xfId="31870"/>
    <cellStyle name="Normal 8 15 7" xfId="31871"/>
    <cellStyle name="Normal 8 15 8" xfId="31872"/>
    <cellStyle name="Normal 8 15 9" xfId="31873"/>
    <cellStyle name="Normal 8 16" xfId="3162"/>
    <cellStyle name="Normal 8 16 2" xfId="3163"/>
    <cellStyle name="Normal 8 16 2 2" xfId="3164"/>
    <cellStyle name="Normal 8 16 2 2 2" xfId="3165"/>
    <cellStyle name="Normal 8 16 2 2 2 2" xfId="31874"/>
    <cellStyle name="Normal 8 16 2 2 2 2 2" xfId="31875"/>
    <cellStyle name="Normal 8 16 2 2 2 2 3" xfId="31876"/>
    <cellStyle name="Normal 8 16 2 2 2 2 4" xfId="31877"/>
    <cellStyle name="Normal 8 16 2 2 2 3" xfId="31878"/>
    <cellStyle name="Normal 8 16 2 2 2 4" xfId="31879"/>
    <cellStyle name="Normal 8 16 2 2 2 5" xfId="31880"/>
    <cellStyle name="Normal 8 16 2 2 3" xfId="3166"/>
    <cellStyle name="Normal 8 16 2 2 3 2" xfId="31881"/>
    <cellStyle name="Normal 8 16 2 2 3 2 2" xfId="31882"/>
    <cellStyle name="Normal 8 16 2 2 3 2 3" xfId="31883"/>
    <cellStyle name="Normal 8 16 2 2 3 2 4" xfId="31884"/>
    <cellStyle name="Normal 8 16 2 2 3 3" xfId="31885"/>
    <cellStyle name="Normal 8 16 2 2 3 4" xfId="31886"/>
    <cellStyle name="Normal 8 16 2 2 3 5" xfId="31887"/>
    <cellStyle name="Normal 8 16 2 2 4" xfId="31888"/>
    <cellStyle name="Normal 8 16 2 2 4 2" xfId="31889"/>
    <cellStyle name="Normal 8 16 2 2 4 3" xfId="31890"/>
    <cellStyle name="Normal 8 16 2 2 4 4" xfId="31891"/>
    <cellStyle name="Normal 8 16 2 2 5" xfId="31892"/>
    <cellStyle name="Normal 8 16 2 2 6" xfId="31893"/>
    <cellStyle name="Normal 8 16 2 2 7" xfId="31894"/>
    <cellStyle name="Normal 8 16 2 3" xfId="3167"/>
    <cellStyle name="Normal 8 16 2 3 2" xfId="31895"/>
    <cellStyle name="Normal 8 16 2 3 2 2" xfId="31896"/>
    <cellStyle name="Normal 8 16 2 3 2 3" xfId="31897"/>
    <cellStyle name="Normal 8 16 2 3 2 4" xfId="31898"/>
    <cellStyle name="Normal 8 16 2 3 3" xfId="31899"/>
    <cellStyle name="Normal 8 16 2 3 4" xfId="31900"/>
    <cellStyle name="Normal 8 16 2 3 5" xfId="31901"/>
    <cellStyle name="Normal 8 16 2 4" xfId="3168"/>
    <cellStyle name="Normal 8 16 2 4 2" xfId="31902"/>
    <cellStyle name="Normal 8 16 2 4 2 2" xfId="31903"/>
    <cellStyle name="Normal 8 16 2 4 2 3" xfId="31904"/>
    <cellStyle name="Normal 8 16 2 4 2 4" xfId="31905"/>
    <cellStyle name="Normal 8 16 2 4 3" xfId="31906"/>
    <cellStyle name="Normal 8 16 2 4 4" xfId="31907"/>
    <cellStyle name="Normal 8 16 2 4 5" xfId="31908"/>
    <cellStyle name="Normal 8 16 2 5" xfId="31909"/>
    <cellStyle name="Normal 8 16 2 5 2" xfId="31910"/>
    <cellStyle name="Normal 8 16 2 5 3" xfId="31911"/>
    <cellStyle name="Normal 8 16 2 5 4" xfId="31912"/>
    <cellStyle name="Normal 8 16 2 6" xfId="31913"/>
    <cellStyle name="Normal 8 16 2 7" xfId="31914"/>
    <cellStyle name="Normal 8 16 2 8" xfId="31915"/>
    <cellStyle name="Normal 8 16 3" xfId="3169"/>
    <cellStyle name="Normal 8 16 3 2" xfId="3170"/>
    <cellStyle name="Normal 8 16 3 2 2" xfId="31916"/>
    <cellStyle name="Normal 8 16 3 2 2 2" xfId="31917"/>
    <cellStyle name="Normal 8 16 3 2 2 3" xfId="31918"/>
    <cellStyle name="Normal 8 16 3 2 2 4" xfId="31919"/>
    <cellStyle name="Normal 8 16 3 2 3" xfId="31920"/>
    <cellStyle name="Normal 8 16 3 2 4" xfId="31921"/>
    <cellStyle name="Normal 8 16 3 2 5" xfId="31922"/>
    <cellStyle name="Normal 8 16 3 3" xfId="3171"/>
    <cellStyle name="Normal 8 16 3 3 2" xfId="31923"/>
    <cellStyle name="Normal 8 16 3 3 2 2" xfId="31924"/>
    <cellStyle name="Normal 8 16 3 3 2 3" xfId="31925"/>
    <cellStyle name="Normal 8 16 3 3 2 4" xfId="31926"/>
    <cellStyle name="Normal 8 16 3 3 3" xfId="31927"/>
    <cellStyle name="Normal 8 16 3 3 4" xfId="31928"/>
    <cellStyle name="Normal 8 16 3 3 5" xfId="31929"/>
    <cellStyle name="Normal 8 16 3 4" xfId="31930"/>
    <cellStyle name="Normal 8 16 3 4 2" xfId="31931"/>
    <cellStyle name="Normal 8 16 3 4 3" xfId="31932"/>
    <cellStyle name="Normal 8 16 3 4 4" xfId="31933"/>
    <cellStyle name="Normal 8 16 3 5" xfId="31934"/>
    <cellStyle name="Normal 8 16 3 6" xfId="31935"/>
    <cellStyle name="Normal 8 16 3 7" xfId="31936"/>
    <cellStyle name="Normal 8 16 4" xfId="3172"/>
    <cellStyle name="Normal 8 16 4 2" xfId="31937"/>
    <cellStyle name="Normal 8 16 4 2 2" xfId="31938"/>
    <cellStyle name="Normal 8 16 4 2 3" xfId="31939"/>
    <cellStyle name="Normal 8 16 4 2 4" xfId="31940"/>
    <cellStyle name="Normal 8 16 4 3" xfId="31941"/>
    <cellStyle name="Normal 8 16 4 4" xfId="31942"/>
    <cellStyle name="Normal 8 16 4 5" xfId="31943"/>
    <cellStyle name="Normal 8 16 5" xfId="3173"/>
    <cellStyle name="Normal 8 16 5 2" xfId="31944"/>
    <cellStyle name="Normal 8 16 5 2 2" xfId="31945"/>
    <cellStyle name="Normal 8 16 5 2 3" xfId="31946"/>
    <cellStyle name="Normal 8 16 5 2 4" xfId="31947"/>
    <cellStyle name="Normal 8 16 5 3" xfId="31948"/>
    <cellStyle name="Normal 8 16 5 4" xfId="31949"/>
    <cellStyle name="Normal 8 16 5 5" xfId="31950"/>
    <cellStyle name="Normal 8 16 6" xfId="31951"/>
    <cellStyle name="Normal 8 16 6 2" xfId="31952"/>
    <cellStyle name="Normal 8 16 6 3" xfId="31953"/>
    <cellStyle name="Normal 8 16 6 4" xfId="31954"/>
    <cellStyle name="Normal 8 16 7" xfId="31955"/>
    <cellStyle name="Normal 8 16 8" xfId="31956"/>
    <cellStyle name="Normal 8 16 9" xfId="31957"/>
    <cellStyle name="Normal 8 17" xfId="3174"/>
    <cellStyle name="Normal 8 17 2" xfId="3175"/>
    <cellStyle name="Normal 8 17 2 2" xfId="3176"/>
    <cellStyle name="Normal 8 17 2 2 2" xfId="3177"/>
    <cellStyle name="Normal 8 17 2 2 2 2" xfId="31958"/>
    <cellStyle name="Normal 8 17 2 2 2 2 2" xfId="31959"/>
    <cellStyle name="Normal 8 17 2 2 2 2 3" xfId="31960"/>
    <cellStyle name="Normal 8 17 2 2 2 2 4" xfId="31961"/>
    <cellStyle name="Normal 8 17 2 2 2 3" xfId="31962"/>
    <cellStyle name="Normal 8 17 2 2 2 4" xfId="31963"/>
    <cellStyle name="Normal 8 17 2 2 2 5" xfId="31964"/>
    <cellStyle name="Normal 8 17 2 2 3" xfId="3178"/>
    <cellStyle name="Normal 8 17 2 2 3 2" xfId="31965"/>
    <cellStyle name="Normal 8 17 2 2 3 2 2" xfId="31966"/>
    <cellStyle name="Normal 8 17 2 2 3 2 3" xfId="31967"/>
    <cellStyle name="Normal 8 17 2 2 3 2 4" xfId="31968"/>
    <cellStyle name="Normal 8 17 2 2 3 3" xfId="31969"/>
    <cellStyle name="Normal 8 17 2 2 3 4" xfId="31970"/>
    <cellStyle name="Normal 8 17 2 2 3 5" xfId="31971"/>
    <cellStyle name="Normal 8 17 2 2 4" xfId="31972"/>
    <cellStyle name="Normal 8 17 2 2 4 2" xfId="31973"/>
    <cellStyle name="Normal 8 17 2 2 4 3" xfId="31974"/>
    <cellStyle name="Normal 8 17 2 2 4 4" xfId="31975"/>
    <cellStyle name="Normal 8 17 2 2 5" xfId="31976"/>
    <cellStyle name="Normal 8 17 2 2 6" xfId="31977"/>
    <cellStyle name="Normal 8 17 2 2 7" xfId="31978"/>
    <cellStyle name="Normal 8 17 2 3" xfId="3179"/>
    <cellStyle name="Normal 8 17 2 3 2" xfId="31979"/>
    <cellStyle name="Normal 8 17 2 3 2 2" xfId="31980"/>
    <cellStyle name="Normal 8 17 2 3 2 3" xfId="31981"/>
    <cellStyle name="Normal 8 17 2 3 2 4" xfId="31982"/>
    <cellStyle name="Normal 8 17 2 3 3" xfId="31983"/>
    <cellStyle name="Normal 8 17 2 3 4" xfId="31984"/>
    <cellStyle name="Normal 8 17 2 3 5" xfId="31985"/>
    <cellStyle name="Normal 8 17 2 4" xfId="3180"/>
    <cellStyle name="Normal 8 17 2 4 2" xfId="31986"/>
    <cellStyle name="Normal 8 17 2 4 2 2" xfId="31987"/>
    <cellStyle name="Normal 8 17 2 4 2 3" xfId="31988"/>
    <cellStyle name="Normal 8 17 2 4 2 4" xfId="31989"/>
    <cellStyle name="Normal 8 17 2 4 3" xfId="31990"/>
    <cellStyle name="Normal 8 17 2 4 4" xfId="31991"/>
    <cellStyle name="Normal 8 17 2 4 5" xfId="31992"/>
    <cellStyle name="Normal 8 17 2 5" xfId="31993"/>
    <cellStyle name="Normal 8 17 2 5 2" xfId="31994"/>
    <cellStyle name="Normal 8 17 2 5 3" xfId="31995"/>
    <cellStyle name="Normal 8 17 2 5 4" xfId="31996"/>
    <cellStyle name="Normal 8 17 2 6" xfId="31997"/>
    <cellStyle name="Normal 8 17 2 7" xfId="31998"/>
    <cellStyle name="Normal 8 17 2 8" xfId="31999"/>
    <cellStyle name="Normal 8 17 3" xfId="3181"/>
    <cellStyle name="Normal 8 17 3 2" xfId="3182"/>
    <cellStyle name="Normal 8 17 3 2 2" xfId="32000"/>
    <cellStyle name="Normal 8 17 3 2 2 2" xfId="32001"/>
    <cellStyle name="Normal 8 17 3 2 2 3" xfId="32002"/>
    <cellStyle name="Normal 8 17 3 2 2 4" xfId="32003"/>
    <cellStyle name="Normal 8 17 3 2 3" xfId="32004"/>
    <cellStyle name="Normal 8 17 3 2 4" xfId="32005"/>
    <cellStyle name="Normal 8 17 3 2 5" xfId="32006"/>
    <cellStyle name="Normal 8 17 3 3" xfId="3183"/>
    <cellStyle name="Normal 8 17 3 3 2" xfId="32007"/>
    <cellStyle name="Normal 8 17 3 3 2 2" xfId="32008"/>
    <cellStyle name="Normal 8 17 3 3 2 3" xfId="32009"/>
    <cellStyle name="Normal 8 17 3 3 2 4" xfId="32010"/>
    <cellStyle name="Normal 8 17 3 3 3" xfId="32011"/>
    <cellStyle name="Normal 8 17 3 3 4" xfId="32012"/>
    <cellStyle name="Normal 8 17 3 3 5" xfId="32013"/>
    <cellStyle name="Normal 8 17 3 4" xfId="32014"/>
    <cellStyle name="Normal 8 17 3 4 2" xfId="32015"/>
    <cellStyle name="Normal 8 17 3 4 3" xfId="32016"/>
    <cellStyle name="Normal 8 17 3 4 4" xfId="32017"/>
    <cellStyle name="Normal 8 17 3 5" xfId="32018"/>
    <cellStyle name="Normal 8 17 3 6" xfId="32019"/>
    <cellStyle name="Normal 8 17 3 7" xfId="32020"/>
    <cellStyle name="Normal 8 17 4" xfId="3184"/>
    <cellStyle name="Normal 8 17 4 2" xfId="32021"/>
    <cellStyle name="Normal 8 17 4 2 2" xfId="32022"/>
    <cellStyle name="Normal 8 17 4 2 3" xfId="32023"/>
    <cellStyle name="Normal 8 17 4 2 4" xfId="32024"/>
    <cellStyle name="Normal 8 17 4 3" xfId="32025"/>
    <cellStyle name="Normal 8 17 4 4" xfId="32026"/>
    <cellStyle name="Normal 8 17 4 5" xfId="32027"/>
    <cellStyle name="Normal 8 17 5" xfId="3185"/>
    <cellStyle name="Normal 8 17 5 2" xfId="32028"/>
    <cellStyle name="Normal 8 17 5 2 2" xfId="32029"/>
    <cellStyle name="Normal 8 17 5 2 3" xfId="32030"/>
    <cellStyle name="Normal 8 17 5 2 4" xfId="32031"/>
    <cellStyle name="Normal 8 17 5 3" xfId="32032"/>
    <cellStyle name="Normal 8 17 5 4" xfId="32033"/>
    <cellStyle name="Normal 8 17 5 5" xfId="32034"/>
    <cellStyle name="Normal 8 17 6" xfId="32035"/>
    <cellStyle name="Normal 8 17 6 2" xfId="32036"/>
    <cellStyle name="Normal 8 17 6 3" xfId="32037"/>
    <cellStyle name="Normal 8 17 6 4" xfId="32038"/>
    <cellStyle name="Normal 8 17 7" xfId="32039"/>
    <cellStyle name="Normal 8 17 8" xfId="32040"/>
    <cellStyle name="Normal 8 17 9" xfId="32041"/>
    <cellStyle name="Normal 8 18" xfId="3186"/>
    <cellStyle name="Normal 8 18 2" xfId="3187"/>
    <cellStyle name="Normal 8 18 2 2" xfId="3188"/>
    <cellStyle name="Normal 8 18 2 2 2" xfId="3189"/>
    <cellStyle name="Normal 8 18 2 2 2 2" xfId="32042"/>
    <cellStyle name="Normal 8 18 2 2 2 2 2" xfId="32043"/>
    <cellStyle name="Normal 8 18 2 2 2 2 3" xfId="32044"/>
    <cellStyle name="Normal 8 18 2 2 2 2 4" xfId="32045"/>
    <cellStyle name="Normal 8 18 2 2 2 3" xfId="32046"/>
    <cellStyle name="Normal 8 18 2 2 2 4" xfId="32047"/>
    <cellStyle name="Normal 8 18 2 2 2 5" xfId="32048"/>
    <cellStyle name="Normal 8 18 2 2 3" xfId="3190"/>
    <cellStyle name="Normal 8 18 2 2 3 2" xfId="32049"/>
    <cellStyle name="Normal 8 18 2 2 3 2 2" xfId="32050"/>
    <cellStyle name="Normal 8 18 2 2 3 2 3" xfId="32051"/>
    <cellStyle name="Normal 8 18 2 2 3 2 4" xfId="32052"/>
    <cellStyle name="Normal 8 18 2 2 3 3" xfId="32053"/>
    <cellStyle name="Normal 8 18 2 2 3 4" xfId="32054"/>
    <cellStyle name="Normal 8 18 2 2 3 5" xfId="32055"/>
    <cellStyle name="Normal 8 18 2 2 4" xfId="32056"/>
    <cellStyle name="Normal 8 18 2 2 4 2" xfId="32057"/>
    <cellStyle name="Normal 8 18 2 2 4 3" xfId="32058"/>
    <cellStyle name="Normal 8 18 2 2 4 4" xfId="32059"/>
    <cellStyle name="Normal 8 18 2 2 5" xfId="32060"/>
    <cellStyle name="Normal 8 18 2 2 6" xfId="32061"/>
    <cellStyle name="Normal 8 18 2 2 7" xfId="32062"/>
    <cellStyle name="Normal 8 18 2 3" xfId="3191"/>
    <cellStyle name="Normal 8 18 2 3 2" xfId="32063"/>
    <cellStyle name="Normal 8 18 2 3 2 2" xfId="32064"/>
    <cellStyle name="Normal 8 18 2 3 2 3" xfId="32065"/>
    <cellStyle name="Normal 8 18 2 3 2 4" xfId="32066"/>
    <cellStyle name="Normal 8 18 2 3 3" xfId="32067"/>
    <cellStyle name="Normal 8 18 2 3 4" xfId="32068"/>
    <cellStyle name="Normal 8 18 2 3 5" xfId="32069"/>
    <cellStyle name="Normal 8 18 2 4" xfId="3192"/>
    <cellStyle name="Normal 8 18 2 4 2" xfId="32070"/>
    <cellStyle name="Normal 8 18 2 4 2 2" xfId="32071"/>
    <cellStyle name="Normal 8 18 2 4 2 3" xfId="32072"/>
    <cellStyle name="Normal 8 18 2 4 2 4" xfId="32073"/>
    <cellStyle name="Normal 8 18 2 4 3" xfId="32074"/>
    <cellStyle name="Normal 8 18 2 4 4" xfId="32075"/>
    <cellStyle name="Normal 8 18 2 4 5" xfId="32076"/>
    <cellStyle name="Normal 8 18 2 5" xfId="32077"/>
    <cellStyle name="Normal 8 18 2 5 2" xfId="32078"/>
    <cellStyle name="Normal 8 18 2 5 3" xfId="32079"/>
    <cellStyle name="Normal 8 18 2 5 4" xfId="32080"/>
    <cellStyle name="Normal 8 18 2 6" xfId="32081"/>
    <cellStyle name="Normal 8 18 2 7" xfId="32082"/>
    <cellStyle name="Normal 8 18 2 8" xfId="32083"/>
    <cellStyle name="Normal 8 18 3" xfId="3193"/>
    <cellStyle name="Normal 8 18 3 2" xfId="3194"/>
    <cellStyle name="Normal 8 18 3 2 2" xfId="32084"/>
    <cellStyle name="Normal 8 18 3 2 2 2" xfId="32085"/>
    <cellStyle name="Normal 8 18 3 2 2 3" xfId="32086"/>
    <cellStyle name="Normal 8 18 3 2 2 4" xfId="32087"/>
    <cellStyle name="Normal 8 18 3 2 3" xfId="32088"/>
    <cellStyle name="Normal 8 18 3 2 4" xfId="32089"/>
    <cellStyle name="Normal 8 18 3 2 5" xfId="32090"/>
    <cellStyle name="Normal 8 18 3 3" xfId="3195"/>
    <cellStyle name="Normal 8 18 3 3 2" xfId="32091"/>
    <cellStyle name="Normal 8 18 3 3 2 2" xfId="32092"/>
    <cellStyle name="Normal 8 18 3 3 2 3" xfId="32093"/>
    <cellStyle name="Normal 8 18 3 3 2 4" xfId="32094"/>
    <cellStyle name="Normal 8 18 3 3 3" xfId="32095"/>
    <cellStyle name="Normal 8 18 3 3 4" xfId="32096"/>
    <cellStyle name="Normal 8 18 3 3 5" xfId="32097"/>
    <cellStyle name="Normal 8 18 3 4" xfId="32098"/>
    <cellStyle name="Normal 8 18 3 4 2" xfId="32099"/>
    <cellStyle name="Normal 8 18 3 4 3" xfId="32100"/>
    <cellStyle name="Normal 8 18 3 4 4" xfId="32101"/>
    <cellStyle name="Normal 8 18 3 5" xfId="32102"/>
    <cellStyle name="Normal 8 18 3 6" xfId="32103"/>
    <cellStyle name="Normal 8 18 3 7" xfId="32104"/>
    <cellStyle name="Normal 8 18 4" xfId="3196"/>
    <cellStyle name="Normal 8 18 4 2" xfId="32105"/>
    <cellStyle name="Normal 8 18 4 2 2" xfId="32106"/>
    <cellStyle name="Normal 8 18 4 2 3" xfId="32107"/>
    <cellStyle name="Normal 8 18 4 2 4" xfId="32108"/>
    <cellStyle name="Normal 8 18 4 3" xfId="32109"/>
    <cellStyle name="Normal 8 18 4 4" xfId="32110"/>
    <cellStyle name="Normal 8 18 4 5" xfId="32111"/>
    <cellStyle name="Normal 8 18 5" xfId="3197"/>
    <cellStyle name="Normal 8 18 5 2" xfId="32112"/>
    <cellStyle name="Normal 8 18 5 2 2" xfId="32113"/>
    <cellStyle name="Normal 8 18 5 2 3" xfId="32114"/>
    <cellStyle name="Normal 8 18 5 2 4" xfId="32115"/>
    <cellStyle name="Normal 8 18 5 3" xfId="32116"/>
    <cellStyle name="Normal 8 18 5 4" xfId="32117"/>
    <cellStyle name="Normal 8 18 5 5" xfId="32118"/>
    <cellStyle name="Normal 8 18 6" xfId="32119"/>
    <cellStyle name="Normal 8 18 6 2" xfId="32120"/>
    <cellStyle name="Normal 8 18 6 3" xfId="32121"/>
    <cellStyle name="Normal 8 18 6 4" xfId="32122"/>
    <cellStyle name="Normal 8 18 7" xfId="32123"/>
    <cellStyle name="Normal 8 18 8" xfId="32124"/>
    <cellStyle name="Normal 8 18 9" xfId="32125"/>
    <cellStyle name="Normal 8 19" xfId="3198"/>
    <cellStyle name="Normal 8 19 2" xfId="3199"/>
    <cellStyle name="Normal 8 19 2 2" xfId="3200"/>
    <cellStyle name="Normal 8 19 2 2 2" xfId="3201"/>
    <cellStyle name="Normal 8 19 2 2 2 2" xfId="32126"/>
    <cellStyle name="Normal 8 19 2 2 2 2 2" xfId="32127"/>
    <cellStyle name="Normal 8 19 2 2 2 2 3" xfId="32128"/>
    <cellStyle name="Normal 8 19 2 2 2 2 4" xfId="32129"/>
    <cellStyle name="Normal 8 19 2 2 2 3" xfId="32130"/>
    <cellStyle name="Normal 8 19 2 2 2 4" xfId="32131"/>
    <cellStyle name="Normal 8 19 2 2 2 5" xfId="32132"/>
    <cellStyle name="Normal 8 19 2 2 3" xfId="3202"/>
    <cellStyle name="Normal 8 19 2 2 3 2" xfId="32133"/>
    <cellStyle name="Normal 8 19 2 2 3 2 2" xfId="32134"/>
    <cellStyle name="Normal 8 19 2 2 3 2 3" xfId="32135"/>
    <cellStyle name="Normal 8 19 2 2 3 2 4" xfId="32136"/>
    <cellStyle name="Normal 8 19 2 2 3 3" xfId="32137"/>
    <cellStyle name="Normal 8 19 2 2 3 4" xfId="32138"/>
    <cellStyle name="Normal 8 19 2 2 3 5" xfId="32139"/>
    <cellStyle name="Normal 8 19 2 2 4" xfId="32140"/>
    <cellStyle name="Normal 8 19 2 2 4 2" xfId="32141"/>
    <cellStyle name="Normal 8 19 2 2 4 3" xfId="32142"/>
    <cellStyle name="Normal 8 19 2 2 4 4" xfId="32143"/>
    <cellStyle name="Normal 8 19 2 2 5" xfId="32144"/>
    <cellStyle name="Normal 8 19 2 2 6" xfId="32145"/>
    <cellStyle name="Normal 8 19 2 2 7" xfId="32146"/>
    <cellStyle name="Normal 8 19 2 3" xfId="3203"/>
    <cellStyle name="Normal 8 19 2 3 2" xfId="32147"/>
    <cellStyle name="Normal 8 19 2 3 2 2" xfId="32148"/>
    <cellStyle name="Normal 8 19 2 3 2 3" xfId="32149"/>
    <cellStyle name="Normal 8 19 2 3 2 4" xfId="32150"/>
    <cellStyle name="Normal 8 19 2 3 3" xfId="32151"/>
    <cellStyle name="Normal 8 19 2 3 4" xfId="32152"/>
    <cellStyle name="Normal 8 19 2 3 5" xfId="32153"/>
    <cellStyle name="Normal 8 19 2 4" xfId="3204"/>
    <cellStyle name="Normal 8 19 2 4 2" xfId="32154"/>
    <cellStyle name="Normal 8 19 2 4 2 2" xfId="32155"/>
    <cellStyle name="Normal 8 19 2 4 2 3" xfId="32156"/>
    <cellStyle name="Normal 8 19 2 4 2 4" xfId="32157"/>
    <cellStyle name="Normal 8 19 2 4 3" xfId="32158"/>
    <cellStyle name="Normal 8 19 2 4 4" xfId="32159"/>
    <cellStyle name="Normal 8 19 2 4 5" xfId="32160"/>
    <cellStyle name="Normal 8 19 2 5" xfId="32161"/>
    <cellStyle name="Normal 8 19 2 5 2" xfId="32162"/>
    <cellStyle name="Normal 8 19 2 5 3" xfId="32163"/>
    <cellStyle name="Normal 8 19 2 5 4" xfId="32164"/>
    <cellStyle name="Normal 8 19 2 6" xfId="32165"/>
    <cellStyle name="Normal 8 19 2 7" xfId="32166"/>
    <cellStyle name="Normal 8 19 2 8" xfId="32167"/>
    <cellStyle name="Normal 8 19 3" xfId="3205"/>
    <cellStyle name="Normal 8 19 3 2" xfId="3206"/>
    <cellStyle name="Normal 8 19 3 2 2" xfId="32168"/>
    <cellStyle name="Normal 8 19 3 2 2 2" xfId="32169"/>
    <cellStyle name="Normal 8 19 3 2 2 3" xfId="32170"/>
    <cellStyle name="Normal 8 19 3 2 2 4" xfId="32171"/>
    <cellStyle name="Normal 8 19 3 2 3" xfId="32172"/>
    <cellStyle name="Normal 8 19 3 2 4" xfId="32173"/>
    <cellStyle name="Normal 8 19 3 2 5" xfId="32174"/>
    <cellStyle name="Normal 8 19 3 3" xfId="3207"/>
    <cellStyle name="Normal 8 19 3 3 2" xfId="32175"/>
    <cellStyle name="Normal 8 19 3 3 2 2" xfId="32176"/>
    <cellStyle name="Normal 8 19 3 3 2 3" xfId="32177"/>
    <cellStyle name="Normal 8 19 3 3 2 4" xfId="32178"/>
    <cellStyle name="Normal 8 19 3 3 3" xfId="32179"/>
    <cellStyle name="Normal 8 19 3 3 4" xfId="32180"/>
    <cellStyle name="Normal 8 19 3 3 5" xfId="32181"/>
    <cellStyle name="Normal 8 19 3 4" xfId="32182"/>
    <cellStyle name="Normal 8 19 3 4 2" xfId="32183"/>
    <cellStyle name="Normal 8 19 3 4 3" xfId="32184"/>
    <cellStyle name="Normal 8 19 3 4 4" xfId="32185"/>
    <cellStyle name="Normal 8 19 3 5" xfId="32186"/>
    <cellStyle name="Normal 8 19 3 6" xfId="32187"/>
    <cellStyle name="Normal 8 19 3 7" xfId="32188"/>
    <cellStyle name="Normal 8 19 4" xfId="3208"/>
    <cellStyle name="Normal 8 19 4 2" xfId="32189"/>
    <cellStyle name="Normal 8 19 4 2 2" xfId="32190"/>
    <cellStyle name="Normal 8 19 4 2 3" xfId="32191"/>
    <cellStyle name="Normal 8 19 4 2 4" xfId="32192"/>
    <cellStyle name="Normal 8 19 4 3" xfId="32193"/>
    <cellStyle name="Normal 8 19 4 4" xfId="32194"/>
    <cellStyle name="Normal 8 19 4 5" xfId="32195"/>
    <cellStyle name="Normal 8 19 5" xfId="3209"/>
    <cellStyle name="Normal 8 19 5 2" xfId="32196"/>
    <cellStyle name="Normal 8 19 5 2 2" xfId="32197"/>
    <cellStyle name="Normal 8 19 5 2 3" xfId="32198"/>
    <cellStyle name="Normal 8 19 5 2 4" xfId="32199"/>
    <cellStyle name="Normal 8 19 5 3" xfId="32200"/>
    <cellStyle name="Normal 8 19 5 4" xfId="32201"/>
    <cellStyle name="Normal 8 19 5 5" xfId="32202"/>
    <cellStyle name="Normal 8 19 6" xfId="32203"/>
    <cellStyle name="Normal 8 19 6 2" xfId="32204"/>
    <cellStyle name="Normal 8 19 6 3" xfId="32205"/>
    <cellStyle name="Normal 8 19 6 4" xfId="32206"/>
    <cellStyle name="Normal 8 19 7" xfId="32207"/>
    <cellStyle name="Normal 8 19 8" xfId="32208"/>
    <cellStyle name="Normal 8 19 9" xfId="32209"/>
    <cellStyle name="Normal 8 2" xfId="3210"/>
    <cellStyle name="Normal 8 2 2" xfId="3211"/>
    <cellStyle name="Normal 8 2 2 2" xfId="3212"/>
    <cellStyle name="Normal 8 2 2 2 2" xfId="3213"/>
    <cellStyle name="Normal 8 2 2 2 2 2" xfId="32210"/>
    <cellStyle name="Normal 8 2 2 2 2 2 2" xfId="32211"/>
    <cellStyle name="Normal 8 2 2 2 2 2 3" xfId="32212"/>
    <cellStyle name="Normal 8 2 2 2 2 2 4" xfId="32213"/>
    <cellStyle name="Normal 8 2 2 2 2 3" xfId="32214"/>
    <cellStyle name="Normal 8 2 2 2 2 4" xfId="32215"/>
    <cellStyle name="Normal 8 2 2 2 2 5" xfId="32216"/>
    <cellStyle name="Normal 8 2 2 2 3" xfId="3214"/>
    <cellStyle name="Normal 8 2 2 2 3 2" xfId="32217"/>
    <cellStyle name="Normal 8 2 2 2 3 2 2" xfId="32218"/>
    <cellStyle name="Normal 8 2 2 2 3 2 3" xfId="32219"/>
    <cellStyle name="Normal 8 2 2 2 3 2 4" xfId="32220"/>
    <cellStyle name="Normal 8 2 2 2 3 3" xfId="32221"/>
    <cellStyle name="Normal 8 2 2 2 3 4" xfId="32222"/>
    <cellStyle name="Normal 8 2 2 2 3 5" xfId="32223"/>
    <cellStyle name="Normal 8 2 2 2 4" xfId="32224"/>
    <cellStyle name="Normal 8 2 2 2 4 2" xfId="32225"/>
    <cellStyle name="Normal 8 2 2 2 4 3" xfId="32226"/>
    <cellStyle name="Normal 8 2 2 2 4 4" xfId="32227"/>
    <cellStyle name="Normal 8 2 2 2 5" xfId="32228"/>
    <cellStyle name="Normal 8 2 2 2 6" xfId="32229"/>
    <cellStyle name="Normal 8 2 2 2 7" xfId="32230"/>
    <cellStyle name="Normal 8 2 2 3" xfId="3215"/>
    <cellStyle name="Normal 8 2 2 3 2" xfId="32231"/>
    <cellStyle name="Normal 8 2 2 3 2 2" xfId="32232"/>
    <cellStyle name="Normal 8 2 2 3 2 3" xfId="32233"/>
    <cellStyle name="Normal 8 2 2 3 2 4" xfId="32234"/>
    <cellStyle name="Normal 8 2 2 3 3" xfId="32235"/>
    <cellStyle name="Normal 8 2 2 3 4" xfId="32236"/>
    <cellStyle name="Normal 8 2 2 3 5" xfId="32237"/>
    <cellStyle name="Normal 8 2 2 4" xfId="3216"/>
    <cellStyle name="Normal 8 2 2 4 2" xfId="32238"/>
    <cellStyle name="Normal 8 2 2 4 2 2" xfId="32239"/>
    <cellStyle name="Normal 8 2 2 4 2 3" xfId="32240"/>
    <cellStyle name="Normal 8 2 2 4 2 4" xfId="32241"/>
    <cellStyle name="Normal 8 2 2 4 3" xfId="32242"/>
    <cellStyle name="Normal 8 2 2 4 4" xfId="32243"/>
    <cellStyle name="Normal 8 2 2 4 5" xfId="32244"/>
    <cellStyle name="Normal 8 2 2 5" xfId="32245"/>
    <cellStyle name="Normal 8 2 2 5 2" xfId="32246"/>
    <cellStyle name="Normal 8 2 2 5 3" xfId="32247"/>
    <cellStyle name="Normal 8 2 2 5 4" xfId="32248"/>
    <cellStyle name="Normal 8 2 2 6" xfId="32249"/>
    <cellStyle name="Normal 8 2 2 7" xfId="32250"/>
    <cellStyle name="Normal 8 2 2 8" xfId="32251"/>
    <cellStyle name="Normal 8 2 3" xfId="3217"/>
    <cellStyle name="Normal 8 2 3 2" xfId="3218"/>
    <cellStyle name="Normal 8 2 3 2 2" xfId="32252"/>
    <cellStyle name="Normal 8 2 3 2 2 2" xfId="32253"/>
    <cellStyle name="Normal 8 2 3 2 2 3" xfId="32254"/>
    <cellStyle name="Normal 8 2 3 2 2 4" xfId="32255"/>
    <cellStyle name="Normal 8 2 3 2 3" xfId="32256"/>
    <cellStyle name="Normal 8 2 3 2 4" xfId="32257"/>
    <cellStyle name="Normal 8 2 3 2 5" xfId="32258"/>
    <cellStyle name="Normal 8 2 3 3" xfId="3219"/>
    <cellStyle name="Normal 8 2 3 3 2" xfId="32259"/>
    <cellStyle name="Normal 8 2 3 3 2 2" xfId="32260"/>
    <cellStyle name="Normal 8 2 3 3 2 3" xfId="32261"/>
    <cellStyle name="Normal 8 2 3 3 2 4" xfId="32262"/>
    <cellStyle name="Normal 8 2 3 3 3" xfId="32263"/>
    <cellStyle name="Normal 8 2 3 3 4" xfId="32264"/>
    <cellStyle name="Normal 8 2 3 3 5" xfId="32265"/>
    <cellStyle name="Normal 8 2 3 4" xfId="32266"/>
    <cellStyle name="Normal 8 2 3 4 2" xfId="32267"/>
    <cellStyle name="Normal 8 2 3 4 3" xfId="32268"/>
    <cellStyle name="Normal 8 2 3 4 4" xfId="32269"/>
    <cellStyle name="Normal 8 2 3 5" xfId="32270"/>
    <cellStyle name="Normal 8 2 3 6" xfId="32271"/>
    <cellStyle name="Normal 8 2 3 7" xfId="32272"/>
    <cellStyle name="Normal 8 2 4" xfId="3220"/>
    <cellStyle name="Normal 8 2 5" xfId="3221"/>
    <cellStyle name="Normal 8 2 6" xfId="32273"/>
    <cellStyle name="Normal 8 2 6 2" xfId="32274"/>
    <cellStyle name="Normal 8 2 6 3" xfId="32275"/>
    <cellStyle name="Normal 8 2 6 4" xfId="32276"/>
    <cellStyle name="Normal 8 2 7" xfId="32277"/>
    <cellStyle name="Normal 8 2 7 2" xfId="32278"/>
    <cellStyle name="Normal 8 2 7 2 2" xfId="32279"/>
    <cellStyle name="Normal 8 2 7 2 2 2" xfId="32280"/>
    <cellStyle name="Normal 8 2 7 3" xfId="32281"/>
    <cellStyle name="Normal 8 2 8" xfId="32282"/>
    <cellStyle name="Normal 8 2 8 2" xfId="32283"/>
    <cellStyle name="Normal 8 2 9" xfId="32284"/>
    <cellStyle name="Normal 8 20" xfId="3222"/>
    <cellStyle name="Normal 8 20 2" xfId="3223"/>
    <cellStyle name="Normal 8 20 2 2" xfId="32285"/>
    <cellStyle name="Normal 8 20 2 2 2" xfId="32286"/>
    <cellStyle name="Normal 8 20 2 2 3" xfId="32287"/>
    <cellStyle name="Normal 8 20 2 2 4" xfId="32288"/>
    <cellStyle name="Normal 8 20 2 3" xfId="32289"/>
    <cellStyle name="Normal 8 20 2 4" xfId="32290"/>
    <cellStyle name="Normal 8 20 2 5" xfId="32291"/>
    <cellStyle name="Normal 8 20 3" xfId="3224"/>
    <cellStyle name="Normal 8 20 3 2" xfId="32292"/>
    <cellStyle name="Normal 8 20 3 2 2" xfId="32293"/>
    <cellStyle name="Normal 8 20 3 2 3" xfId="32294"/>
    <cellStyle name="Normal 8 20 3 2 4" xfId="32295"/>
    <cellStyle name="Normal 8 20 3 3" xfId="32296"/>
    <cellStyle name="Normal 8 20 3 4" xfId="32297"/>
    <cellStyle name="Normal 8 20 3 5" xfId="32298"/>
    <cellStyle name="Normal 8 20 4" xfId="32299"/>
    <cellStyle name="Normal 8 20 4 2" xfId="32300"/>
    <cellStyle name="Normal 8 20 4 3" xfId="32301"/>
    <cellStyle name="Normal 8 20 4 4" xfId="32302"/>
    <cellStyle name="Normal 8 20 5" xfId="32303"/>
    <cellStyle name="Normal 8 20 6" xfId="32304"/>
    <cellStyle name="Normal 8 20 7" xfId="32305"/>
    <cellStyle name="Normal 8 21" xfId="3225"/>
    <cellStyle name="Normal 8 21 2" xfId="32306"/>
    <cellStyle name="Normal 8 21 2 2" xfId="32307"/>
    <cellStyle name="Normal 8 21 2 3" xfId="32308"/>
    <cellStyle name="Normal 8 21 2 4" xfId="32309"/>
    <cellStyle name="Normal 8 21 3" xfId="32310"/>
    <cellStyle name="Normal 8 21 4" xfId="32311"/>
    <cellStyle name="Normal 8 21 5" xfId="32312"/>
    <cellStyle name="Normal 8 22" xfId="3226"/>
    <cellStyle name="Normal 8 22 2" xfId="32313"/>
    <cellStyle name="Normal 8 22 2 2" xfId="32314"/>
    <cellStyle name="Normal 8 22 2 3" xfId="32315"/>
    <cellStyle name="Normal 8 22 2 4" xfId="32316"/>
    <cellStyle name="Normal 8 22 3" xfId="32317"/>
    <cellStyle name="Normal 8 22 4" xfId="32318"/>
    <cellStyle name="Normal 8 22 5" xfId="32319"/>
    <cellStyle name="Normal 8 23" xfId="32320"/>
    <cellStyle name="Normal 8 23 2" xfId="32321"/>
    <cellStyle name="Normal 8 23 2 2" xfId="32322"/>
    <cellStyle name="Normal 8 23 2 2 2" xfId="32323"/>
    <cellStyle name="Normal 8 23 3" xfId="32324"/>
    <cellStyle name="Normal 8 24" xfId="32325"/>
    <cellStyle name="Normal 8 24 2" xfId="32326"/>
    <cellStyle name="Normal 8 3" xfId="3227"/>
    <cellStyle name="Normal 8 3 2" xfId="3228"/>
    <cellStyle name="Normal 8 3 2 2" xfId="3229"/>
    <cellStyle name="Normal 8 3 2 2 2" xfId="3230"/>
    <cellStyle name="Normal 8 3 2 2 2 2" xfId="32327"/>
    <cellStyle name="Normal 8 3 2 2 2 2 2" xfId="32328"/>
    <cellStyle name="Normal 8 3 2 2 2 2 3" xfId="32329"/>
    <cellStyle name="Normal 8 3 2 2 2 2 4" xfId="32330"/>
    <cellStyle name="Normal 8 3 2 2 2 3" xfId="32331"/>
    <cellStyle name="Normal 8 3 2 2 2 4" xfId="32332"/>
    <cellStyle name="Normal 8 3 2 2 2 5" xfId="32333"/>
    <cellStyle name="Normal 8 3 2 2 3" xfId="3231"/>
    <cellStyle name="Normal 8 3 2 2 3 2" xfId="32334"/>
    <cellStyle name="Normal 8 3 2 2 3 2 2" xfId="32335"/>
    <cellStyle name="Normal 8 3 2 2 3 2 3" xfId="32336"/>
    <cellStyle name="Normal 8 3 2 2 3 2 4" xfId="32337"/>
    <cellStyle name="Normal 8 3 2 2 3 3" xfId="32338"/>
    <cellStyle name="Normal 8 3 2 2 3 4" xfId="32339"/>
    <cellStyle name="Normal 8 3 2 2 3 5" xfId="32340"/>
    <cellStyle name="Normal 8 3 2 2 4" xfId="32341"/>
    <cellStyle name="Normal 8 3 2 2 4 2" xfId="32342"/>
    <cellStyle name="Normal 8 3 2 2 4 3" xfId="32343"/>
    <cellStyle name="Normal 8 3 2 2 4 4" xfId="32344"/>
    <cellStyle name="Normal 8 3 2 2 5" xfId="32345"/>
    <cellStyle name="Normal 8 3 2 2 6" xfId="32346"/>
    <cellStyle name="Normal 8 3 2 2 7" xfId="32347"/>
    <cellStyle name="Normal 8 3 2 3" xfId="3232"/>
    <cellStyle name="Normal 8 3 2 3 2" xfId="32348"/>
    <cellStyle name="Normal 8 3 2 3 2 2" xfId="32349"/>
    <cellStyle name="Normal 8 3 2 3 2 3" xfId="32350"/>
    <cellStyle name="Normal 8 3 2 3 2 4" xfId="32351"/>
    <cellStyle name="Normal 8 3 2 3 3" xfId="32352"/>
    <cellStyle name="Normal 8 3 2 3 4" xfId="32353"/>
    <cellStyle name="Normal 8 3 2 3 5" xfId="32354"/>
    <cellStyle name="Normal 8 3 2 4" xfId="3233"/>
    <cellStyle name="Normal 8 3 2 4 2" xfId="32355"/>
    <cellStyle name="Normal 8 3 2 4 2 2" xfId="32356"/>
    <cellStyle name="Normal 8 3 2 4 2 3" xfId="32357"/>
    <cellStyle name="Normal 8 3 2 4 2 4" xfId="32358"/>
    <cellStyle name="Normal 8 3 2 4 3" xfId="32359"/>
    <cellStyle name="Normal 8 3 2 4 4" xfId="32360"/>
    <cellStyle name="Normal 8 3 2 4 5" xfId="32361"/>
    <cellStyle name="Normal 8 3 2 5" xfId="32362"/>
    <cellStyle name="Normal 8 3 2 5 2" xfId="32363"/>
    <cellStyle name="Normal 8 3 2 5 3" xfId="32364"/>
    <cellStyle name="Normal 8 3 2 5 4" xfId="32365"/>
    <cellStyle name="Normal 8 3 2 6" xfId="32366"/>
    <cellStyle name="Normal 8 3 2 7" xfId="32367"/>
    <cellStyle name="Normal 8 3 2 8" xfId="32368"/>
    <cellStyle name="Normal 8 3 3" xfId="3234"/>
    <cellStyle name="Normal 8 3 3 2" xfId="3235"/>
    <cellStyle name="Normal 8 3 3 2 2" xfId="32369"/>
    <cellStyle name="Normal 8 3 3 2 2 2" xfId="32370"/>
    <cellStyle name="Normal 8 3 3 2 2 3" xfId="32371"/>
    <cellStyle name="Normal 8 3 3 2 2 4" xfId="32372"/>
    <cellStyle name="Normal 8 3 3 2 3" xfId="32373"/>
    <cellStyle name="Normal 8 3 3 2 4" xfId="32374"/>
    <cellStyle name="Normal 8 3 3 2 5" xfId="32375"/>
    <cellStyle name="Normal 8 3 3 3" xfId="3236"/>
    <cellStyle name="Normal 8 3 3 3 2" xfId="32376"/>
    <cellStyle name="Normal 8 3 3 3 2 2" xfId="32377"/>
    <cellStyle name="Normal 8 3 3 3 2 3" xfId="32378"/>
    <cellStyle name="Normal 8 3 3 3 2 4" xfId="32379"/>
    <cellStyle name="Normal 8 3 3 3 3" xfId="32380"/>
    <cellStyle name="Normal 8 3 3 3 4" xfId="32381"/>
    <cellStyle name="Normal 8 3 3 3 5" xfId="32382"/>
    <cellStyle name="Normal 8 3 3 4" xfId="32383"/>
    <cellStyle name="Normal 8 3 3 4 2" xfId="32384"/>
    <cellStyle name="Normal 8 3 3 4 3" xfId="32385"/>
    <cellStyle name="Normal 8 3 3 4 4" xfId="32386"/>
    <cellStyle name="Normal 8 3 3 5" xfId="32387"/>
    <cellStyle name="Normal 8 3 3 6" xfId="32388"/>
    <cellStyle name="Normal 8 3 3 7" xfId="32389"/>
    <cellStyle name="Normal 8 3 4" xfId="3237"/>
    <cellStyle name="Normal 8 3 4 2" xfId="32390"/>
    <cellStyle name="Normal 8 3 4 2 2" xfId="32391"/>
    <cellStyle name="Normal 8 3 4 2 3" xfId="32392"/>
    <cellStyle name="Normal 8 3 4 2 4" xfId="32393"/>
    <cellStyle name="Normal 8 3 4 3" xfId="32394"/>
    <cellStyle name="Normal 8 3 4 4" xfId="32395"/>
    <cellStyle name="Normal 8 3 4 5" xfId="32396"/>
    <cellStyle name="Normal 8 3 5" xfId="3238"/>
    <cellStyle name="Normal 8 3 5 2" xfId="32397"/>
    <cellStyle name="Normal 8 3 5 2 2" xfId="32398"/>
    <cellStyle name="Normal 8 3 5 2 3" xfId="32399"/>
    <cellStyle name="Normal 8 3 5 2 4" xfId="32400"/>
    <cellStyle name="Normal 8 3 5 3" xfId="32401"/>
    <cellStyle name="Normal 8 3 5 4" xfId="32402"/>
    <cellStyle name="Normal 8 3 5 5" xfId="32403"/>
    <cellStyle name="Normal 8 3 6" xfId="32404"/>
    <cellStyle name="Normal 8 3 6 2" xfId="32405"/>
    <cellStyle name="Normal 8 3 6 3" xfId="32406"/>
    <cellStyle name="Normal 8 3 6 4" xfId="32407"/>
    <cellStyle name="Normal 8 3 7" xfId="32408"/>
    <cellStyle name="Normal 8 3 8" xfId="32409"/>
    <cellStyle name="Normal 8 3 9" xfId="32410"/>
    <cellStyle name="Normal 8 4" xfId="3239"/>
    <cellStyle name="Normal 8 4 2" xfId="3240"/>
    <cellStyle name="Normal 8 4 2 2" xfId="3241"/>
    <cellStyle name="Normal 8 4 2 2 2" xfId="3242"/>
    <cellStyle name="Normal 8 4 2 2 2 2" xfId="32411"/>
    <cellStyle name="Normal 8 4 2 2 2 2 2" xfId="32412"/>
    <cellStyle name="Normal 8 4 2 2 2 2 3" xfId="32413"/>
    <cellStyle name="Normal 8 4 2 2 2 2 4" xfId="32414"/>
    <cellStyle name="Normal 8 4 2 2 2 3" xfId="32415"/>
    <cellStyle name="Normal 8 4 2 2 2 4" xfId="32416"/>
    <cellStyle name="Normal 8 4 2 2 2 5" xfId="32417"/>
    <cellStyle name="Normal 8 4 2 2 3" xfId="3243"/>
    <cellStyle name="Normal 8 4 2 2 3 2" xfId="32418"/>
    <cellStyle name="Normal 8 4 2 2 3 2 2" xfId="32419"/>
    <cellStyle name="Normal 8 4 2 2 3 2 3" xfId="32420"/>
    <cellStyle name="Normal 8 4 2 2 3 2 4" xfId="32421"/>
    <cellStyle name="Normal 8 4 2 2 3 3" xfId="32422"/>
    <cellStyle name="Normal 8 4 2 2 3 4" xfId="32423"/>
    <cellStyle name="Normal 8 4 2 2 3 5" xfId="32424"/>
    <cellStyle name="Normal 8 4 2 2 4" xfId="32425"/>
    <cellStyle name="Normal 8 4 2 2 4 2" xfId="32426"/>
    <cellStyle name="Normal 8 4 2 2 4 3" xfId="32427"/>
    <cellStyle name="Normal 8 4 2 2 4 4" xfId="32428"/>
    <cellStyle name="Normal 8 4 2 2 5" xfId="32429"/>
    <cellStyle name="Normal 8 4 2 2 6" xfId="32430"/>
    <cellStyle name="Normal 8 4 2 2 7" xfId="32431"/>
    <cellStyle name="Normal 8 4 2 3" xfId="3244"/>
    <cellStyle name="Normal 8 4 2 3 2" xfId="32432"/>
    <cellStyle name="Normal 8 4 2 3 2 2" xfId="32433"/>
    <cellStyle name="Normal 8 4 2 3 2 3" xfId="32434"/>
    <cellStyle name="Normal 8 4 2 3 2 4" xfId="32435"/>
    <cellStyle name="Normal 8 4 2 3 3" xfId="32436"/>
    <cellStyle name="Normal 8 4 2 3 4" xfId="32437"/>
    <cellStyle name="Normal 8 4 2 3 5" xfId="32438"/>
    <cellStyle name="Normal 8 4 2 4" xfId="3245"/>
    <cellStyle name="Normal 8 4 2 4 2" xfId="32439"/>
    <cellStyle name="Normal 8 4 2 4 2 2" xfId="32440"/>
    <cellStyle name="Normal 8 4 2 4 2 3" xfId="32441"/>
    <cellStyle name="Normal 8 4 2 4 2 4" xfId="32442"/>
    <cellStyle name="Normal 8 4 2 4 3" xfId="32443"/>
    <cellStyle name="Normal 8 4 2 4 4" xfId="32444"/>
    <cellStyle name="Normal 8 4 2 4 5" xfId="32445"/>
    <cellStyle name="Normal 8 4 2 5" xfId="32446"/>
    <cellStyle name="Normal 8 4 2 5 2" xfId="32447"/>
    <cellStyle name="Normal 8 4 2 5 3" xfId="32448"/>
    <cellStyle name="Normal 8 4 2 5 4" xfId="32449"/>
    <cellStyle name="Normal 8 4 2 6" xfId="32450"/>
    <cellStyle name="Normal 8 4 2 7" xfId="32451"/>
    <cellStyle name="Normal 8 4 2 8" xfId="32452"/>
    <cellStyle name="Normal 8 4 3" xfId="3246"/>
    <cellStyle name="Normal 8 4 3 2" xfId="3247"/>
    <cellStyle name="Normal 8 4 3 2 2" xfId="32453"/>
    <cellStyle name="Normal 8 4 3 2 2 2" xfId="32454"/>
    <cellStyle name="Normal 8 4 3 2 2 3" xfId="32455"/>
    <cellStyle name="Normal 8 4 3 2 2 4" xfId="32456"/>
    <cellStyle name="Normal 8 4 3 2 3" xfId="32457"/>
    <cellStyle name="Normal 8 4 3 2 4" xfId="32458"/>
    <cellStyle name="Normal 8 4 3 2 5" xfId="32459"/>
    <cellStyle name="Normal 8 4 3 3" xfId="3248"/>
    <cellStyle name="Normal 8 4 3 3 2" xfId="32460"/>
    <cellStyle name="Normal 8 4 3 3 2 2" xfId="32461"/>
    <cellStyle name="Normal 8 4 3 3 2 3" xfId="32462"/>
    <cellStyle name="Normal 8 4 3 3 2 4" xfId="32463"/>
    <cellStyle name="Normal 8 4 3 3 3" xfId="32464"/>
    <cellStyle name="Normal 8 4 3 3 4" xfId="32465"/>
    <cellStyle name="Normal 8 4 3 3 5" xfId="32466"/>
    <cellStyle name="Normal 8 4 3 4" xfId="32467"/>
    <cellStyle name="Normal 8 4 3 4 2" xfId="32468"/>
    <cellStyle name="Normal 8 4 3 4 3" xfId="32469"/>
    <cellStyle name="Normal 8 4 3 4 4" xfId="32470"/>
    <cellStyle name="Normal 8 4 3 5" xfId="32471"/>
    <cellStyle name="Normal 8 4 3 6" xfId="32472"/>
    <cellStyle name="Normal 8 4 3 7" xfId="32473"/>
    <cellStyle name="Normal 8 4 4" xfId="3249"/>
    <cellStyle name="Normal 8 4 4 2" xfId="32474"/>
    <cellStyle name="Normal 8 4 4 2 2" xfId="32475"/>
    <cellStyle name="Normal 8 4 4 2 3" xfId="32476"/>
    <cellStyle name="Normal 8 4 4 2 4" xfId="32477"/>
    <cellStyle name="Normal 8 4 4 3" xfId="32478"/>
    <cellStyle name="Normal 8 4 4 4" xfId="32479"/>
    <cellStyle name="Normal 8 4 4 5" xfId="32480"/>
    <cellStyle name="Normal 8 4 5" xfId="3250"/>
    <cellStyle name="Normal 8 4 5 2" xfId="32481"/>
    <cellStyle name="Normal 8 4 5 2 2" xfId="32482"/>
    <cellStyle name="Normal 8 4 5 2 3" xfId="32483"/>
    <cellStyle name="Normal 8 4 5 2 4" xfId="32484"/>
    <cellStyle name="Normal 8 4 5 3" xfId="32485"/>
    <cellStyle name="Normal 8 4 5 4" xfId="32486"/>
    <cellStyle name="Normal 8 4 5 5" xfId="32487"/>
    <cellStyle name="Normal 8 4 6" xfId="32488"/>
    <cellStyle name="Normal 8 4 6 2" xfId="32489"/>
    <cellStyle name="Normal 8 4 6 3" xfId="32490"/>
    <cellStyle name="Normal 8 4 6 4" xfId="32491"/>
    <cellStyle name="Normal 8 4 7" xfId="32492"/>
    <cellStyle name="Normal 8 4 8" xfId="32493"/>
    <cellStyle name="Normal 8 4 9" xfId="32494"/>
    <cellStyle name="Normal 8 5" xfId="3251"/>
    <cellStyle name="Normal 8 5 2" xfId="3252"/>
    <cellStyle name="Normal 8 5 2 2" xfId="3253"/>
    <cellStyle name="Normal 8 5 2 2 2" xfId="3254"/>
    <cellStyle name="Normal 8 5 2 2 2 2" xfId="32495"/>
    <cellStyle name="Normal 8 5 2 2 2 2 2" xfId="32496"/>
    <cellStyle name="Normal 8 5 2 2 2 2 3" xfId="32497"/>
    <cellStyle name="Normal 8 5 2 2 2 2 4" xfId="32498"/>
    <cellStyle name="Normal 8 5 2 2 2 3" xfId="32499"/>
    <cellStyle name="Normal 8 5 2 2 2 4" xfId="32500"/>
    <cellStyle name="Normal 8 5 2 2 2 5" xfId="32501"/>
    <cellStyle name="Normal 8 5 2 2 3" xfId="3255"/>
    <cellStyle name="Normal 8 5 2 2 3 2" xfId="32502"/>
    <cellStyle name="Normal 8 5 2 2 3 2 2" xfId="32503"/>
    <cellStyle name="Normal 8 5 2 2 3 2 3" xfId="32504"/>
    <cellStyle name="Normal 8 5 2 2 3 2 4" xfId="32505"/>
    <cellStyle name="Normal 8 5 2 2 3 3" xfId="32506"/>
    <cellStyle name="Normal 8 5 2 2 3 4" xfId="32507"/>
    <cellStyle name="Normal 8 5 2 2 3 5" xfId="32508"/>
    <cellStyle name="Normal 8 5 2 2 4" xfId="32509"/>
    <cellStyle name="Normal 8 5 2 2 4 2" xfId="32510"/>
    <cellStyle name="Normal 8 5 2 2 4 3" xfId="32511"/>
    <cellStyle name="Normal 8 5 2 2 4 4" xfId="32512"/>
    <cellStyle name="Normal 8 5 2 2 5" xfId="32513"/>
    <cellStyle name="Normal 8 5 2 2 6" xfId="32514"/>
    <cellStyle name="Normal 8 5 2 2 7" xfId="32515"/>
    <cellStyle name="Normal 8 5 2 3" xfId="3256"/>
    <cellStyle name="Normal 8 5 2 3 2" xfId="32516"/>
    <cellStyle name="Normal 8 5 2 3 2 2" xfId="32517"/>
    <cellStyle name="Normal 8 5 2 3 2 3" xfId="32518"/>
    <cellStyle name="Normal 8 5 2 3 2 4" xfId="32519"/>
    <cellStyle name="Normal 8 5 2 3 3" xfId="32520"/>
    <cellStyle name="Normal 8 5 2 3 4" xfId="32521"/>
    <cellStyle name="Normal 8 5 2 3 5" xfId="32522"/>
    <cellStyle name="Normal 8 5 2 4" xfId="3257"/>
    <cellStyle name="Normal 8 5 2 4 2" xfId="32523"/>
    <cellStyle name="Normal 8 5 2 4 2 2" xfId="32524"/>
    <cellStyle name="Normal 8 5 2 4 2 3" xfId="32525"/>
    <cellStyle name="Normal 8 5 2 4 2 4" xfId="32526"/>
    <cellStyle name="Normal 8 5 2 4 3" xfId="32527"/>
    <cellStyle name="Normal 8 5 2 4 4" xfId="32528"/>
    <cellStyle name="Normal 8 5 2 4 5" xfId="32529"/>
    <cellStyle name="Normal 8 5 2 5" xfId="32530"/>
    <cellStyle name="Normal 8 5 2 5 2" xfId="32531"/>
    <cellStyle name="Normal 8 5 2 5 3" xfId="32532"/>
    <cellStyle name="Normal 8 5 2 5 4" xfId="32533"/>
    <cellStyle name="Normal 8 5 2 6" xfId="32534"/>
    <cellStyle name="Normal 8 5 2 7" xfId="32535"/>
    <cellStyle name="Normal 8 5 2 8" xfId="32536"/>
    <cellStyle name="Normal 8 5 3" xfId="3258"/>
    <cellStyle name="Normal 8 5 3 2" xfId="3259"/>
    <cellStyle name="Normal 8 5 3 2 2" xfId="32537"/>
    <cellStyle name="Normal 8 5 3 2 2 2" xfId="32538"/>
    <cellStyle name="Normal 8 5 3 2 2 3" xfId="32539"/>
    <cellStyle name="Normal 8 5 3 2 2 4" xfId="32540"/>
    <cellStyle name="Normal 8 5 3 2 3" xfId="32541"/>
    <cellStyle name="Normal 8 5 3 2 4" xfId="32542"/>
    <cellStyle name="Normal 8 5 3 2 5" xfId="32543"/>
    <cellStyle name="Normal 8 5 3 3" xfId="3260"/>
    <cellStyle name="Normal 8 5 3 3 2" xfId="32544"/>
    <cellStyle name="Normal 8 5 3 3 2 2" xfId="32545"/>
    <cellStyle name="Normal 8 5 3 3 2 3" xfId="32546"/>
    <cellStyle name="Normal 8 5 3 3 2 4" xfId="32547"/>
    <cellStyle name="Normal 8 5 3 3 3" xfId="32548"/>
    <cellStyle name="Normal 8 5 3 3 4" xfId="32549"/>
    <cellStyle name="Normal 8 5 3 3 5" xfId="32550"/>
    <cellStyle name="Normal 8 5 3 4" xfId="32551"/>
    <cellStyle name="Normal 8 5 3 4 2" xfId="32552"/>
    <cellStyle name="Normal 8 5 3 4 3" xfId="32553"/>
    <cellStyle name="Normal 8 5 3 4 4" xfId="32554"/>
    <cellStyle name="Normal 8 5 3 5" xfId="32555"/>
    <cellStyle name="Normal 8 5 3 6" xfId="32556"/>
    <cellStyle name="Normal 8 5 3 7" xfId="32557"/>
    <cellStyle name="Normal 8 5 4" xfId="3261"/>
    <cellStyle name="Normal 8 5 4 2" xfId="32558"/>
    <cellStyle name="Normal 8 5 4 2 2" xfId="32559"/>
    <cellStyle name="Normal 8 5 4 2 3" xfId="32560"/>
    <cellStyle name="Normal 8 5 4 2 4" xfId="32561"/>
    <cellStyle name="Normal 8 5 4 3" xfId="32562"/>
    <cellStyle name="Normal 8 5 4 4" xfId="32563"/>
    <cellStyle name="Normal 8 5 4 5" xfId="32564"/>
    <cellStyle name="Normal 8 5 5" xfId="3262"/>
    <cellStyle name="Normal 8 5 5 2" xfId="32565"/>
    <cellStyle name="Normal 8 5 5 2 2" xfId="32566"/>
    <cellStyle name="Normal 8 5 5 2 3" xfId="32567"/>
    <cellStyle name="Normal 8 5 5 2 4" xfId="32568"/>
    <cellStyle name="Normal 8 5 5 3" xfId="32569"/>
    <cellStyle name="Normal 8 5 5 4" xfId="32570"/>
    <cellStyle name="Normal 8 5 5 5" xfId="32571"/>
    <cellStyle name="Normal 8 5 6" xfId="32572"/>
    <cellStyle name="Normal 8 5 6 2" xfId="32573"/>
    <cellStyle name="Normal 8 5 6 3" xfId="32574"/>
    <cellStyle name="Normal 8 5 6 4" xfId="32575"/>
    <cellStyle name="Normal 8 5 7" xfId="32576"/>
    <cellStyle name="Normal 8 5 8" xfId="32577"/>
    <cellStyle name="Normal 8 5 9" xfId="32578"/>
    <cellStyle name="Normal 8 6" xfId="3263"/>
    <cellStyle name="Normal 8 6 2" xfId="3264"/>
    <cellStyle name="Normal 8 6 2 2" xfId="3265"/>
    <cellStyle name="Normal 8 6 2 2 2" xfId="3266"/>
    <cellStyle name="Normal 8 6 2 2 2 2" xfId="32579"/>
    <cellStyle name="Normal 8 6 2 2 2 2 2" xfId="32580"/>
    <cellStyle name="Normal 8 6 2 2 2 2 3" xfId="32581"/>
    <cellStyle name="Normal 8 6 2 2 2 2 4" xfId="32582"/>
    <cellStyle name="Normal 8 6 2 2 2 3" xfId="32583"/>
    <cellStyle name="Normal 8 6 2 2 2 4" xfId="32584"/>
    <cellStyle name="Normal 8 6 2 2 2 5" xfId="32585"/>
    <cellStyle name="Normal 8 6 2 2 3" xfId="3267"/>
    <cellStyle name="Normal 8 6 2 2 3 2" xfId="32586"/>
    <cellStyle name="Normal 8 6 2 2 3 2 2" xfId="32587"/>
    <cellStyle name="Normal 8 6 2 2 3 2 3" xfId="32588"/>
    <cellStyle name="Normal 8 6 2 2 3 2 4" xfId="32589"/>
    <cellStyle name="Normal 8 6 2 2 3 3" xfId="32590"/>
    <cellStyle name="Normal 8 6 2 2 3 4" xfId="32591"/>
    <cellStyle name="Normal 8 6 2 2 3 5" xfId="32592"/>
    <cellStyle name="Normal 8 6 2 2 4" xfId="32593"/>
    <cellStyle name="Normal 8 6 2 2 4 2" xfId="32594"/>
    <cellStyle name="Normal 8 6 2 2 4 3" xfId="32595"/>
    <cellStyle name="Normal 8 6 2 2 4 4" xfId="32596"/>
    <cellStyle name="Normal 8 6 2 2 5" xfId="32597"/>
    <cellStyle name="Normal 8 6 2 2 6" xfId="32598"/>
    <cellStyle name="Normal 8 6 2 2 7" xfId="32599"/>
    <cellStyle name="Normal 8 6 2 3" xfId="3268"/>
    <cellStyle name="Normal 8 6 2 3 2" xfId="32600"/>
    <cellStyle name="Normal 8 6 2 3 2 2" xfId="32601"/>
    <cellStyle name="Normal 8 6 2 3 2 3" xfId="32602"/>
    <cellStyle name="Normal 8 6 2 3 2 4" xfId="32603"/>
    <cellStyle name="Normal 8 6 2 3 3" xfId="32604"/>
    <cellStyle name="Normal 8 6 2 3 4" xfId="32605"/>
    <cellStyle name="Normal 8 6 2 3 5" xfId="32606"/>
    <cellStyle name="Normal 8 6 2 4" xfId="3269"/>
    <cellStyle name="Normal 8 6 2 4 2" xfId="32607"/>
    <cellStyle name="Normal 8 6 2 4 2 2" xfId="32608"/>
    <cellStyle name="Normal 8 6 2 4 2 3" xfId="32609"/>
    <cellStyle name="Normal 8 6 2 4 2 4" xfId="32610"/>
    <cellStyle name="Normal 8 6 2 4 3" xfId="32611"/>
    <cellStyle name="Normal 8 6 2 4 4" xfId="32612"/>
    <cellStyle name="Normal 8 6 2 4 5" xfId="32613"/>
    <cellStyle name="Normal 8 6 2 5" xfId="32614"/>
    <cellStyle name="Normal 8 6 2 5 2" xfId="32615"/>
    <cellStyle name="Normal 8 6 2 5 3" xfId="32616"/>
    <cellStyle name="Normal 8 6 2 5 4" xfId="32617"/>
    <cellStyle name="Normal 8 6 2 6" xfId="32618"/>
    <cellStyle name="Normal 8 6 2 7" xfId="32619"/>
    <cellStyle name="Normal 8 6 2 8" xfId="32620"/>
    <cellStyle name="Normal 8 6 3" xfId="3270"/>
    <cellStyle name="Normal 8 6 3 2" xfId="3271"/>
    <cellStyle name="Normal 8 6 3 2 2" xfId="32621"/>
    <cellStyle name="Normal 8 6 3 2 2 2" xfId="32622"/>
    <cellStyle name="Normal 8 6 3 2 2 3" xfId="32623"/>
    <cellStyle name="Normal 8 6 3 2 2 4" xfId="32624"/>
    <cellStyle name="Normal 8 6 3 2 3" xfId="32625"/>
    <cellStyle name="Normal 8 6 3 2 4" xfId="32626"/>
    <cellStyle name="Normal 8 6 3 2 5" xfId="32627"/>
    <cellStyle name="Normal 8 6 3 3" xfId="3272"/>
    <cellStyle name="Normal 8 6 3 3 2" xfId="32628"/>
    <cellStyle name="Normal 8 6 3 3 2 2" xfId="32629"/>
    <cellStyle name="Normal 8 6 3 3 2 3" xfId="32630"/>
    <cellStyle name="Normal 8 6 3 3 2 4" xfId="32631"/>
    <cellStyle name="Normal 8 6 3 3 3" xfId="32632"/>
    <cellStyle name="Normal 8 6 3 3 4" xfId="32633"/>
    <cellStyle name="Normal 8 6 3 3 5" xfId="32634"/>
    <cellStyle name="Normal 8 6 3 4" xfId="32635"/>
    <cellStyle name="Normal 8 6 3 4 2" xfId="32636"/>
    <cellStyle name="Normal 8 6 3 4 3" xfId="32637"/>
    <cellStyle name="Normal 8 6 3 4 4" xfId="32638"/>
    <cellStyle name="Normal 8 6 3 5" xfId="32639"/>
    <cellStyle name="Normal 8 6 3 6" xfId="32640"/>
    <cellStyle name="Normal 8 6 3 7" xfId="32641"/>
    <cellStyle name="Normal 8 6 4" xfId="3273"/>
    <cellStyle name="Normal 8 6 4 2" xfId="32642"/>
    <cellStyle name="Normal 8 6 4 2 2" xfId="32643"/>
    <cellStyle name="Normal 8 6 4 2 3" xfId="32644"/>
    <cellStyle name="Normal 8 6 4 2 4" xfId="32645"/>
    <cellStyle name="Normal 8 6 4 3" xfId="32646"/>
    <cellStyle name="Normal 8 6 4 4" xfId="32647"/>
    <cellStyle name="Normal 8 6 4 5" xfId="32648"/>
    <cellStyle name="Normal 8 6 5" xfId="3274"/>
    <cellStyle name="Normal 8 6 5 2" xfId="32649"/>
    <cellStyle name="Normal 8 6 5 2 2" xfId="32650"/>
    <cellStyle name="Normal 8 6 5 2 3" xfId="32651"/>
    <cellStyle name="Normal 8 6 5 2 4" xfId="32652"/>
    <cellStyle name="Normal 8 6 5 3" xfId="32653"/>
    <cellStyle name="Normal 8 6 5 4" xfId="32654"/>
    <cellStyle name="Normal 8 6 5 5" xfId="32655"/>
    <cellStyle name="Normal 8 6 6" xfId="32656"/>
    <cellStyle name="Normal 8 6 6 2" xfId="32657"/>
    <cellStyle name="Normal 8 6 6 3" xfId="32658"/>
    <cellStyle name="Normal 8 6 6 4" xfId="32659"/>
    <cellStyle name="Normal 8 6 7" xfId="32660"/>
    <cellStyle name="Normal 8 6 8" xfId="32661"/>
    <cellStyle name="Normal 8 6 9" xfId="32662"/>
    <cellStyle name="Normal 8 7" xfId="3275"/>
    <cellStyle name="Normal 8 7 2" xfId="3276"/>
    <cellStyle name="Normal 8 7 2 2" xfId="3277"/>
    <cellStyle name="Normal 8 7 2 2 2" xfId="3278"/>
    <cellStyle name="Normal 8 7 2 2 2 2" xfId="32663"/>
    <cellStyle name="Normal 8 7 2 2 2 2 2" xfId="32664"/>
    <cellStyle name="Normal 8 7 2 2 2 2 3" xfId="32665"/>
    <cellStyle name="Normal 8 7 2 2 2 2 4" xfId="32666"/>
    <cellStyle name="Normal 8 7 2 2 2 3" xfId="32667"/>
    <cellStyle name="Normal 8 7 2 2 2 4" xfId="32668"/>
    <cellStyle name="Normal 8 7 2 2 2 5" xfId="32669"/>
    <cellStyle name="Normal 8 7 2 2 3" xfId="3279"/>
    <cellStyle name="Normal 8 7 2 2 3 2" xfId="32670"/>
    <cellStyle name="Normal 8 7 2 2 3 2 2" xfId="32671"/>
    <cellStyle name="Normal 8 7 2 2 3 2 3" xfId="32672"/>
    <cellStyle name="Normal 8 7 2 2 3 2 4" xfId="32673"/>
    <cellStyle name="Normal 8 7 2 2 3 3" xfId="32674"/>
    <cellStyle name="Normal 8 7 2 2 3 4" xfId="32675"/>
    <cellStyle name="Normal 8 7 2 2 3 5" xfId="32676"/>
    <cellStyle name="Normal 8 7 2 2 4" xfId="32677"/>
    <cellStyle name="Normal 8 7 2 2 4 2" xfId="32678"/>
    <cellStyle name="Normal 8 7 2 2 4 3" xfId="32679"/>
    <cellStyle name="Normal 8 7 2 2 4 4" xfId="32680"/>
    <cellStyle name="Normal 8 7 2 2 5" xfId="32681"/>
    <cellStyle name="Normal 8 7 2 2 6" xfId="32682"/>
    <cellStyle name="Normal 8 7 2 2 7" xfId="32683"/>
    <cellStyle name="Normal 8 7 2 3" xfId="3280"/>
    <cellStyle name="Normal 8 7 2 3 2" xfId="32684"/>
    <cellStyle name="Normal 8 7 2 3 2 2" xfId="32685"/>
    <cellStyle name="Normal 8 7 2 3 2 3" xfId="32686"/>
    <cellStyle name="Normal 8 7 2 3 2 4" xfId="32687"/>
    <cellStyle name="Normal 8 7 2 3 3" xfId="32688"/>
    <cellStyle name="Normal 8 7 2 3 4" xfId="32689"/>
    <cellStyle name="Normal 8 7 2 3 5" xfId="32690"/>
    <cellStyle name="Normal 8 7 2 4" xfId="3281"/>
    <cellStyle name="Normal 8 7 2 4 2" xfId="32691"/>
    <cellStyle name="Normal 8 7 2 4 2 2" xfId="32692"/>
    <cellStyle name="Normal 8 7 2 4 2 3" xfId="32693"/>
    <cellStyle name="Normal 8 7 2 4 2 4" xfId="32694"/>
    <cellStyle name="Normal 8 7 2 4 3" xfId="32695"/>
    <cellStyle name="Normal 8 7 2 4 4" xfId="32696"/>
    <cellStyle name="Normal 8 7 2 4 5" xfId="32697"/>
    <cellStyle name="Normal 8 7 2 5" xfId="32698"/>
    <cellStyle name="Normal 8 7 2 5 2" xfId="32699"/>
    <cellStyle name="Normal 8 7 2 5 3" xfId="32700"/>
    <cellStyle name="Normal 8 7 2 5 4" xfId="32701"/>
    <cellStyle name="Normal 8 7 2 6" xfId="32702"/>
    <cellStyle name="Normal 8 7 2 7" xfId="32703"/>
    <cellStyle name="Normal 8 7 2 8" xfId="32704"/>
    <cellStyle name="Normal 8 7 3" xfId="3282"/>
    <cellStyle name="Normal 8 7 3 2" xfId="3283"/>
    <cellStyle name="Normal 8 7 3 2 2" xfId="32705"/>
    <cellStyle name="Normal 8 7 3 2 2 2" xfId="32706"/>
    <cellStyle name="Normal 8 7 3 2 2 3" xfId="32707"/>
    <cellStyle name="Normal 8 7 3 2 2 4" xfId="32708"/>
    <cellStyle name="Normal 8 7 3 2 3" xfId="32709"/>
    <cellStyle name="Normal 8 7 3 2 4" xfId="32710"/>
    <cellStyle name="Normal 8 7 3 2 5" xfId="32711"/>
    <cellStyle name="Normal 8 7 3 3" xfId="3284"/>
    <cellStyle name="Normal 8 7 3 3 2" xfId="32712"/>
    <cellStyle name="Normal 8 7 3 3 2 2" xfId="32713"/>
    <cellStyle name="Normal 8 7 3 3 2 3" xfId="32714"/>
    <cellStyle name="Normal 8 7 3 3 2 4" xfId="32715"/>
    <cellStyle name="Normal 8 7 3 3 3" xfId="32716"/>
    <cellStyle name="Normal 8 7 3 3 4" xfId="32717"/>
    <cellStyle name="Normal 8 7 3 3 5" xfId="32718"/>
    <cellStyle name="Normal 8 7 3 4" xfId="32719"/>
    <cellStyle name="Normal 8 7 3 4 2" xfId="32720"/>
    <cellStyle name="Normal 8 7 3 4 3" xfId="32721"/>
    <cellStyle name="Normal 8 7 3 4 4" xfId="32722"/>
    <cellStyle name="Normal 8 7 3 5" xfId="32723"/>
    <cellStyle name="Normal 8 7 3 6" xfId="32724"/>
    <cellStyle name="Normal 8 7 3 7" xfId="32725"/>
    <cellStyle name="Normal 8 7 4" xfId="3285"/>
    <cellStyle name="Normal 8 7 4 2" xfId="32726"/>
    <cellStyle name="Normal 8 7 4 2 2" xfId="32727"/>
    <cellStyle name="Normal 8 7 4 2 3" xfId="32728"/>
    <cellStyle name="Normal 8 7 4 2 4" xfId="32729"/>
    <cellStyle name="Normal 8 7 4 3" xfId="32730"/>
    <cellStyle name="Normal 8 7 4 4" xfId="32731"/>
    <cellStyle name="Normal 8 7 4 5" xfId="32732"/>
    <cellStyle name="Normal 8 7 5" xfId="3286"/>
    <cellStyle name="Normal 8 7 5 2" xfId="32733"/>
    <cellStyle name="Normal 8 7 5 2 2" xfId="32734"/>
    <cellStyle name="Normal 8 7 5 2 3" xfId="32735"/>
    <cellStyle name="Normal 8 7 5 2 4" xfId="32736"/>
    <cellStyle name="Normal 8 7 5 3" xfId="32737"/>
    <cellStyle name="Normal 8 7 5 4" xfId="32738"/>
    <cellStyle name="Normal 8 7 5 5" xfId="32739"/>
    <cellStyle name="Normal 8 7 6" xfId="32740"/>
    <cellStyle name="Normal 8 7 6 2" xfId="32741"/>
    <cellStyle name="Normal 8 7 6 3" xfId="32742"/>
    <cellStyle name="Normal 8 7 6 4" xfId="32743"/>
    <cellStyle name="Normal 8 7 7" xfId="32744"/>
    <cellStyle name="Normal 8 7 8" xfId="32745"/>
    <cellStyle name="Normal 8 7 9" xfId="32746"/>
    <cellStyle name="Normal 8 8" xfId="3287"/>
    <cellStyle name="Normal 8 8 2" xfId="3288"/>
    <cellStyle name="Normal 8 8 2 2" xfId="3289"/>
    <cellStyle name="Normal 8 8 2 2 2" xfId="3290"/>
    <cellStyle name="Normal 8 8 2 2 2 2" xfId="32747"/>
    <cellStyle name="Normal 8 8 2 2 2 2 2" xfId="32748"/>
    <cellStyle name="Normal 8 8 2 2 2 2 3" xfId="32749"/>
    <cellStyle name="Normal 8 8 2 2 2 2 4" xfId="32750"/>
    <cellStyle name="Normal 8 8 2 2 2 3" xfId="32751"/>
    <cellStyle name="Normal 8 8 2 2 2 4" xfId="32752"/>
    <cellStyle name="Normal 8 8 2 2 2 5" xfId="32753"/>
    <cellStyle name="Normal 8 8 2 2 3" xfId="3291"/>
    <cellStyle name="Normal 8 8 2 2 3 2" xfId="32754"/>
    <cellStyle name="Normal 8 8 2 2 3 2 2" xfId="32755"/>
    <cellStyle name="Normal 8 8 2 2 3 2 3" xfId="32756"/>
    <cellStyle name="Normal 8 8 2 2 3 2 4" xfId="32757"/>
    <cellStyle name="Normal 8 8 2 2 3 3" xfId="32758"/>
    <cellStyle name="Normal 8 8 2 2 3 4" xfId="32759"/>
    <cellStyle name="Normal 8 8 2 2 3 5" xfId="32760"/>
    <cellStyle name="Normal 8 8 2 2 4" xfId="32761"/>
    <cellStyle name="Normal 8 8 2 2 4 2" xfId="32762"/>
    <cellStyle name="Normal 8 8 2 2 4 3" xfId="32763"/>
    <cellStyle name="Normal 8 8 2 2 4 4" xfId="32764"/>
    <cellStyle name="Normal 8 8 2 2 5" xfId="32765"/>
    <cellStyle name="Normal 8 8 2 2 6" xfId="32766"/>
    <cellStyle name="Normal 8 8 2 2 7" xfId="32767"/>
    <cellStyle name="Normal 8 8 2 3" xfId="3292"/>
    <cellStyle name="Normal 8 8 2 3 2" xfId="32768"/>
    <cellStyle name="Normal 8 8 2 3 2 2" xfId="32769"/>
    <cellStyle name="Normal 8 8 2 3 2 3" xfId="32770"/>
    <cellStyle name="Normal 8 8 2 3 2 4" xfId="32771"/>
    <cellStyle name="Normal 8 8 2 3 3" xfId="32772"/>
    <cellStyle name="Normal 8 8 2 3 4" xfId="32773"/>
    <cellStyle name="Normal 8 8 2 3 5" xfId="32774"/>
    <cellStyle name="Normal 8 8 2 4" xfId="3293"/>
    <cellStyle name="Normal 8 8 2 4 2" xfId="32775"/>
    <cellStyle name="Normal 8 8 2 4 2 2" xfId="32776"/>
    <cellStyle name="Normal 8 8 2 4 2 3" xfId="32777"/>
    <cellStyle name="Normal 8 8 2 4 2 4" xfId="32778"/>
    <cellStyle name="Normal 8 8 2 4 3" xfId="32779"/>
    <cellStyle name="Normal 8 8 2 4 4" xfId="32780"/>
    <cellStyle name="Normal 8 8 2 4 5" xfId="32781"/>
    <cellStyle name="Normal 8 8 2 5" xfId="32782"/>
    <cellStyle name="Normal 8 8 2 5 2" xfId="32783"/>
    <cellStyle name="Normal 8 8 2 5 3" xfId="32784"/>
    <cellStyle name="Normal 8 8 2 5 4" xfId="32785"/>
    <cellStyle name="Normal 8 8 2 6" xfId="32786"/>
    <cellStyle name="Normal 8 8 2 7" xfId="32787"/>
    <cellStyle name="Normal 8 8 2 8" xfId="32788"/>
    <cellStyle name="Normal 8 8 3" xfId="3294"/>
    <cellStyle name="Normal 8 8 3 2" xfId="3295"/>
    <cellStyle name="Normal 8 8 3 2 2" xfId="32789"/>
    <cellStyle name="Normal 8 8 3 2 2 2" xfId="32790"/>
    <cellStyle name="Normal 8 8 3 2 2 3" xfId="32791"/>
    <cellStyle name="Normal 8 8 3 2 2 4" xfId="32792"/>
    <cellStyle name="Normal 8 8 3 2 3" xfId="32793"/>
    <cellStyle name="Normal 8 8 3 2 4" xfId="32794"/>
    <cellStyle name="Normal 8 8 3 2 5" xfId="32795"/>
    <cellStyle name="Normal 8 8 3 3" xfId="3296"/>
    <cellStyle name="Normal 8 8 3 3 2" xfId="32796"/>
    <cellStyle name="Normal 8 8 3 3 2 2" xfId="32797"/>
    <cellStyle name="Normal 8 8 3 3 2 3" xfId="32798"/>
    <cellStyle name="Normal 8 8 3 3 2 4" xfId="32799"/>
    <cellStyle name="Normal 8 8 3 3 3" xfId="32800"/>
    <cellStyle name="Normal 8 8 3 3 4" xfId="32801"/>
    <cellStyle name="Normal 8 8 3 3 5" xfId="32802"/>
    <cellStyle name="Normal 8 8 3 4" xfId="32803"/>
    <cellStyle name="Normal 8 8 3 4 2" xfId="32804"/>
    <cellStyle name="Normal 8 8 3 4 3" xfId="32805"/>
    <cellStyle name="Normal 8 8 3 4 4" xfId="32806"/>
    <cellStyle name="Normal 8 8 3 5" xfId="32807"/>
    <cellStyle name="Normal 8 8 3 6" xfId="32808"/>
    <cellStyle name="Normal 8 8 3 7" xfId="32809"/>
    <cellStyle name="Normal 8 8 4" xfId="3297"/>
    <cellStyle name="Normal 8 8 4 2" xfId="32810"/>
    <cellStyle name="Normal 8 8 4 2 2" xfId="32811"/>
    <cellStyle name="Normal 8 8 4 2 3" xfId="32812"/>
    <cellStyle name="Normal 8 8 4 2 4" xfId="32813"/>
    <cellStyle name="Normal 8 8 4 3" xfId="32814"/>
    <cellStyle name="Normal 8 8 4 4" xfId="32815"/>
    <cellStyle name="Normal 8 8 4 5" xfId="32816"/>
    <cellStyle name="Normal 8 8 5" xfId="3298"/>
    <cellStyle name="Normal 8 8 5 2" xfId="32817"/>
    <cellStyle name="Normal 8 8 5 2 2" xfId="32818"/>
    <cellStyle name="Normal 8 8 5 2 3" xfId="32819"/>
    <cellStyle name="Normal 8 8 5 2 4" xfId="32820"/>
    <cellStyle name="Normal 8 8 5 3" xfId="32821"/>
    <cellStyle name="Normal 8 8 5 4" xfId="32822"/>
    <cellStyle name="Normal 8 8 5 5" xfId="32823"/>
    <cellStyle name="Normal 8 8 6" xfId="32824"/>
    <cellStyle name="Normal 8 8 6 2" xfId="32825"/>
    <cellStyle name="Normal 8 8 6 3" xfId="32826"/>
    <cellStyle name="Normal 8 8 6 4" xfId="32827"/>
    <cellStyle name="Normal 8 8 7" xfId="32828"/>
    <cellStyle name="Normal 8 8 8" xfId="32829"/>
    <cellStyle name="Normal 8 8 9" xfId="32830"/>
    <cellStyle name="Normal 8 9" xfId="3299"/>
    <cellStyle name="Normal 8 9 2" xfId="3300"/>
    <cellStyle name="Normal 8 9 2 2" xfId="3301"/>
    <cellStyle name="Normal 8 9 2 2 2" xfId="3302"/>
    <cellStyle name="Normal 8 9 2 2 2 2" xfId="32831"/>
    <cellStyle name="Normal 8 9 2 2 2 2 2" xfId="32832"/>
    <cellStyle name="Normal 8 9 2 2 2 2 3" xfId="32833"/>
    <cellStyle name="Normal 8 9 2 2 2 2 4" xfId="32834"/>
    <cellStyle name="Normal 8 9 2 2 2 3" xfId="32835"/>
    <cellStyle name="Normal 8 9 2 2 2 4" xfId="32836"/>
    <cellStyle name="Normal 8 9 2 2 2 5" xfId="32837"/>
    <cellStyle name="Normal 8 9 2 2 3" xfId="3303"/>
    <cellStyle name="Normal 8 9 2 2 3 2" xfId="32838"/>
    <cellStyle name="Normal 8 9 2 2 3 2 2" xfId="32839"/>
    <cellStyle name="Normal 8 9 2 2 3 2 3" xfId="32840"/>
    <cellStyle name="Normal 8 9 2 2 3 2 4" xfId="32841"/>
    <cellStyle name="Normal 8 9 2 2 3 3" xfId="32842"/>
    <cellStyle name="Normal 8 9 2 2 3 4" xfId="32843"/>
    <cellStyle name="Normal 8 9 2 2 3 5" xfId="32844"/>
    <cellStyle name="Normal 8 9 2 2 4" xfId="32845"/>
    <cellStyle name="Normal 8 9 2 2 4 2" xfId="32846"/>
    <cellStyle name="Normal 8 9 2 2 4 3" xfId="32847"/>
    <cellStyle name="Normal 8 9 2 2 4 4" xfId="32848"/>
    <cellStyle name="Normal 8 9 2 2 5" xfId="32849"/>
    <cellStyle name="Normal 8 9 2 2 6" xfId="32850"/>
    <cellStyle name="Normal 8 9 2 2 7" xfId="32851"/>
    <cellStyle name="Normal 8 9 2 3" xfId="3304"/>
    <cellStyle name="Normal 8 9 2 3 2" xfId="32852"/>
    <cellStyle name="Normal 8 9 2 3 2 2" xfId="32853"/>
    <cellStyle name="Normal 8 9 2 3 2 3" xfId="32854"/>
    <cellStyle name="Normal 8 9 2 3 2 4" xfId="32855"/>
    <cellStyle name="Normal 8 9 2 3 3" xfId="32856"/>
    <cellStyle name="Normal 8 9 2 3 4" xfId="32857"/>
    <cellStyle name="Normal 8 9 2 3 5" xfId="32858"/>
    <cellStyle name="Normal 8 9 2 4" xfId="3305"/>
    <cellStyle name="Normal 8 9 2 4 2" xfId="32859"/>
    <cellStyle name="Normal 8 9 2 4 2 2" xfId="32860"/>
    <cellStyle name="Normal 8 9 2 4 2 3" xfId="32861"/>
    <cellStyle name="Normal 8 9 2 4 2 4" xfId="32862"/>
    <cellStyle name="Normal 8 9 2 4 3" xfId="32863"/>
    <cellStyle name="Normal 8 9 2 4 4" xfId="32864"/>
    <cellStyle name="Normal 8 9 2 4 5" xfId="32865"/>
    <cellStyle name="Normal 8 9 2 5" xfId="32866"/>
    <cellStyle name="Normal 8 9 2 5 2" xfId="32867"/>
    <cellStyle name="Normal 8 9 2 5 3" xfId="32868"/>
    <cellStyle name="Normal 8 9 2 5 4" xfId="32869"/>
    <cellStyle name="Normal 8 9 2 6" xfId="32870"/>
    <cellStyle name="Normal 8 9 2 7" xfId="32871"/>
    <cellStyle name="Normal 8 9 2 8" xfId="32872"/>
    <cellStyle name="Normal 8 9 3" xfId="3306"/>
    <cellStyle name="Normal 8 9 3 2" xfId="3307"/>
    <cellStyle name="Normal 8 9 3 2 2" xfId="32873"/>
    <cellStyle name="Normal 8 9 3 2 2 2" xfId="32874"/>
    <cellStyle name="Normal 8 9 3 2 2 3" xfId="32875"/>
    <cellStyle name="Normal 8 9 3 2 2 4" xfId="32876"/>
    <cellStyle name="Normal 8 9 3 2 3" xfId="32877"/>
    <cellStyle name="Normal 8 9 3 2 4" xfId="32878"/>
    <cellStyle name="Normal 8 9 3 2 5" xfId="32879"/>
    <cellStyle name="Normal 8 9 3 3" xfId="3308"/>
    <cellStyle name="Normal 8 9 3 3 2" xfId="32880"/>
    <cellStyle name="Normal 8 9 3 3 2 2" xfId="32881"/>
    <cellStyle name="Normal 8 9 3 3 2 3" xfId="32882"/>
    <cellStyle name="Normal 8 9 3 3 2 4" xfId="32883"/>
    <cellStyle name="Normal 8 9 3 3 3" xfId="32884"/>
    <cellStyle name="Normal 8 9 3 3 4" xfId="32885"/>
    <cellStyle name="Normal 8 9 3 3 5" xfId="32886"/>
    <cellStyle name="Normal 8 9 3 4" xfId="32887"/>
    <cellStyle name="Normal 8 9 3 4 2" xfId="32888"/>
    <cellStyle name="Normal 8 9 3 4 3" xfId="32889"/>
    <cellStyle name="Normal 8 9 3 4 4" xfId="32890"/>
    <cellStyle name="Normal 8 9 3 5" xfId="32891"/>
    <cellStyle name="Normal 8 9 3 6" xfId="32892"/>
    <cellStyle name="Normal 8 9 3 7" xfId="32893"/>
    <cellStyle name="Normal 8 9 4" xfId="3309"/>
    <cellStyle name="Normal 8 9 4 2" xfId="32894"/>
    <cellStyle name="Normal 8 9 4 2 2" xfId="32895"/>
    <cellStyle name="Normal 8 9 4 2 3" xfId="32896"/>
    <cellStyle name="Normal 8 9 4 2 4" xfId="32897"/>
    <cellStyle name="Normal 8 9 4 3" xfId="32898"/>
    <cellStyle name="Normal 8 9 4 4" xfId="32899"/>
    <cellStyle name="Normal 8 9 4 5" xfId="32900"/>
    <cellStyle name="Normal 8 9 5" xfId="3310"/>
    <cellStyle name="Normal 8 9 5 2" xfId="32901"/>
    <cellStyle name="Normal 8 9 5 2 2" xfId="32902"/>
    <cellStyle name="Normal 8 9 5 2 3" xfId="32903"/>
    <cellStyle name="Normal 8 9 5 2 4" xfId="32904"/>
    <cellStyle name="Normal 8 9 5 3" xfId="32905"/>
    <cellStyle name="Normal 8 9 5 4" xfId="32906"/>
    <cellStyle name="Normal 8 9 5 5" xfId="32907"/>
    <cellStyle name="Normal 8 9 6" xfId="32908"/>
    <cellStyle name="Normal 8 9 6 2" xfId="32909"/>
    <cellStyle name="Normal 8 9 6 3" xfId="32910"/>
    <cellStyle name="Normal 8 9 6 4" xfId="32911"/>
    <cellStyle name="Normal 8 9 7" xfId="32912"/>
    <cellStyle name="Normal 8 9 8" xfId="32913"/>
    <cellStyle name="Normal 8 9 9" xfId="32914"/>
    <cellStyle name="Normal 80" xfId="14457"/>
    <cellStyle name="Normal 80 10" xfId="40069"/>
    <cellStyle name="Normal 80 11" xfId="40374"/>
    <cellStyle name="Normal 80 11 2" xfId="40375"/>
    <cellStyle name="Normal 80 12" xfId="40376"/>
    <cellStyle name="Normal 80 2" xfId="32915"/>
    <cellStyle name="Normal 80 2 2" xfId="40076"/>
    <cellStyle name="Normal 80 2 2 2" xfId="40377"/>
    <cellStyle name="Normal 80 3" xfId="32916"/>
    <cellStyle name="Normal 80 4" xfId="32917"/>
    <cellStyle name="Normal 80 4 2" xfId="40077"/>
    <cellStyle name="Normal 80 5" xfId="32918"/>
    <cellStyle name="Normal 80 6" xfId="32919"/>
    <cellStyle name="Normal 80 7" xfId="32920"/>
    <cellStyle name="Normal 80 8" xfId="32921"/>
    <cellStyle name="Normal 80 8 2" xfId="40078"/>
    <cellStyle name="Normal 80 9" xfId="40064"/>
    <cellStyle name="Normal 80 9 2" xfId="40091"/>
    <cellStyle name="Normal 80 9 3" xfId="40094"/>
    <cellStyle name="Normal 81" xfId="32922"/>
    <cellStyle name="Normal 81 2" xfId="32923"/>
    <cellStyle name="Normal 81 2 2" xfId="40079"/>
    <cellStyle name="Normal 82" xfId="32924"/>
    <cellStyle name="Normal 82 2" xfId="32925"/>
    <cellStyle name="Normal 82 2 2" xfId="40378"/>
    <cellStyle name="Normal 82 3" xfId="32926"/>
    <cellStyle name="Normal 82 4" xfId="40067"/>
    <cellStyle name="Normal 82 4 2" xfId="40083"/>
    <cellStyle name="Normal 82 5" xfId="40379"/>
    <cellStyle name="Normal 83" xfId="32927"/>
    <cellStyle name="Normal 84" xfId="32928"/>
    <cellStyle name="Normal 85" xfId="32929"/>
    <cellStyle name="Normal 85 2" xfId="40080"/>
    <cellStyle name="Normal 86" xfId="32930"/>
    <cellStyle name="Normal 86 2" xfId="32931"/>
    <cellStyle name="Normal 86 2 2" xfId="40081"/>
    <cellStyle name="Normal 87" xfId="32932"/>
    <cellStyle name="Normal 88" xfId="32933"/>
    <cellStyle name="Normal 89" xfId="32934"/>
    <cellStyle name="Normal 9" xfId="3311"/>
    <cellStyle name="Normal 9 2" xfId="3312"/>
    <cellStyle name="Normal 9 2 2" xfId="3313"/>
    <cellStyle name="Normal 9 2 2 2" xfId="3314"/>
    <cellStyle name="Normal 9 2 2 2 2" xfId="3315"/>
    <cellStyle name="Normal 9 2 2 2 2 2" xfId="32935"/>
    <cellStyle name="Normal 9 2 2 2 2 2 2" xfId="32936"/>
    <cellStyle name="Normal 9 2 2 2 2 2 3" xfId="32937"/>
    <cellStyle name="Normal 9 2 2 2 2 2 4" xfId="32938"/>
    <cellStyle name="Normal 9 2 2 2 2 3" xfId="32939"/>
    <cellStyle name="Normal 9 2 2 2 2 4" xfId="32940"/>
    <cellStyle name="Normal 9 2 2 2 2 5" xfId="32941"/>
    <cellStyle name="Normal 9 2 2 2 3" xfId="3316"/>
    <cellStyle name="Normal 9 2 2 2 3 2" xfId="32942"/>
    <cellStyle name="Normal 9 2 2 2 3 2 2" xfId="32943"/>
    <cellStyle name="Normal 9 2 2 2 3 2 3" xfId="32944"/>
    <cellStyle name="Normal 9 2 2 2 3 2 4" xfId="32945"/>
    <cellStyle name="Normal 9 2 2 2 3 3" xfId="32946"/>
    <cellStyle name="Normal 9 2 2 2 3 4" xfId="32947"/>
    <cellStyle name="Normal 9 2 2 2 3 5" xfId="32948"/>
    <cellStyle name="Normal 9 2 2 2 4" xfId="32949"/>
    <cellStyle name="Normal 9 2 2 2 4 2" xfId="32950"/>
    <cellStyle name="Normal 9 2 2 2 4 3" xfId="32951"/>
    <cellStyle name="Normal 9 2 2 2 4 4" xfId="32952"/>
    <cellStyle name="Normal 9 2 2 2 5" xfId="32953"/>
    <cellStyle name="Normal 9 2 2 2 6" xfId="32954"/>
    <cellStyle name="Normal 9 2 2 2 7" xfId="32955"/>
    <cellStyle name="Normal 9 2 2 3" xfId="3317"/>
    <cellStyle name="Normal 9 2 2 3 2" xfId="32956"/>
    <cellStyle name="Normal 9 2 2 3 2 2" xfId="32957"/>
    <cellStyle name="Normal 9 2 2 3 2 3" xfId="32958"/>
    <cellStyle name="Normal 9 2 2 3 2 4" xfId="32959"/>
    <cellStyle name="Normal 9 2 2 3 3" xfId="32960"/>
    <cellStyle name="Normal 9 2 2 3 4" xfId="32961"/>
    <cellStyle name="Normal 9 2 2 3 5" xfId="32962"/>
    <cellStyle name="Normal 9 2 2 4" xfId="3318"/>
    <cellStyle name="Normal 9 2 2 4 2" xfId="32963"/>
    <cellStyle name="Normal 9 2 2 4 2 2" xfId="32964"/>
    <cellStyle name="Normal 9 2 2 4 2 3" xfId="32965"/>
    <cellStyle name="Normal 9 2 2 4 2 4" xfId="32966"/>
    <cellStyle name="Normal 9 2 2 4 3" xfId="32967"/>
    <cellStyle name="Normal 9 2 2 4 4" xfId="32968"/>
    <cellStyle name="Normal 9 2 2 4 5" xfId="32969"/>
    <cellStyle name="Normal 9 2 2 5" xfId="32970"/>
    <cellStyle name="Normal 9 2 2 5 2" xfId="32971"/>
    <cellStyle name="Normal 9 2 2 5 3" xfId="32972"/>
    <cellStyle name="Normal 9 2 2 5 4" xfId="32973"/>
    <cellStyle name="Normal 9 2 2 6" xfId="32974"/>
    <cellStyle name="Normal 9 2 2 7" xfId="32975"/>
    <cellStyle name="Normal 9 2 2 8" xfId="32976"/>
    <cellStyle name="Normal 9 2 3" xfId="3319"/>
    <cellStyle name="Normal 9 2 3 2" xfId="3320"/>
    <cellStyle name="Normal 9 2 3 2 2" xfId="32977"/>
    <cellStyle name="Normal 9 2 3 2 2 2" xfId="32978"/>
    <cellStyle name="Normal 9 2 3 2 2 3" xfId="32979"/>
    <cellStyle name="Normal 9 2 3 2 2 4" xfId="32980"/>
    <cellStyle name="Normal 9 2 3 2 3" xfId="32981"/>
    <cellStyle name="Normal 9 2 3 2 4" xfId="32982"/>
    <cellStyle name="Normal 9 2 3 2 5" xfId="32983"/>
    <cellStyle name="Normal 9 2 3 3" xfId="3321"/>
    <cellStyle name="Normal 9 2 3 3 2" xfId="32984"/>
    <cellStyle name="Normal 9 2 3 3 2 2" xfId="32985"/>
    <cellStyle name="Normal 9 2 3 3 2 3" xfId="32986"/>
    <cellStyle name="Normal 9 2 3 3 2 4" xfId="32987"/>
    <cellStyle name="Normal 9 2 3 3 3" xfId="32988"/>
    <cellStyle name="Normal 9 2 3 3 4" xfId="32989"/>
    <cellStyle name="Normal 9 2 3 3 5" xfId="32990"/>
    <cellStyle name="Normal 9 2 3 4" xfId="32991"/>
    <cellStyle name="Normal 9 2 3 4 2" xfId="32992"/>
    <cellStyle name="Normal 9 2 3 4 3" xfId="32993"/>
    <cellStyle name="Normal 9 2 3 4 4" xfId="32994"/>
    <cellStyle name="Normal 9 2 3 5" xfId="32995"/>
    <cellStyle name="Normal 9 2 3 6" xfId="32996"/>
    <cellStyle name="Normal 9 2 3 7" xfId="32997"/>
    <cellStyle name="Normal 9 2 4" xfId="3322"/>
    <cellStyle name="Normal 9 2 4 2" xfId="32998"/>
    <cellStyle name="Normal 9 2 4 2 2" xfId="32999"/>
    <cellStyle name="Normal 9 2 4 2 3" xfId="33000"/>
    <cellStyle name="Normal 9 2 4 2 4" xfId="33001"/>
    <cellStyle name="Normal 9 2 4 3" xfId="33002"/>
    <cellStyle name="Normal 9 2 4 4" xfId="33003"/>
    <cellStyle name="Normal 9 2 4 5" xfId="33004"/>
    <cellStyle name="Normal 9 2 5" xfId="3323"/>
    <cellStyle name="Normal 9 2 5 2" xfId="33005"/>
    <cellStyle name="Normal 9 2 5 2 2" xfId="33006"/>
    <cellStyle name="Normal 9 2 5 2 3" xfId="33007"/>
    <cellStyle name="Normal 9 2 5 2 4" xfId="33008"/>
    <cellStyle name="Normal 9 2 5 3" xfId="33009"/>
    <cellStyle name="Normal 9 2 5 4" xfId="33010"/>
    <cellStyle name="Normal 9 2 5 5" xfId="33011"/>
    <cellStyle name="Normal 9 2 6" xfId="33012"/>
    <cellStyle name="Normal 9 2 6 2" xfId="33013"/>
    <cellStyle name="Normal 9 2 6 3" xfId="33014"/>
    <cellStyle name="Normal 9 2 6 4" xfId="33015"/>
    <cellStyle name="Normal 9 2 7" xfId="33016"/>
    <cellStyle name="Normal 9 2 8" xfId="33017"/>
    <cellStyle name="Normal 9 2 9" xfId="33018"/>
    <cellStyle name="Normal 9 3" xfId="3324"/>
    <cellStyle name="Normal 9 3 2" xfId="3325"/>
    <cellStyle name="Normal 9 3 3" xfId="3326"/>
    <cellStyle name="Normal 9 3 4" xfId="3327"/>
    <cellStyle name="Normal 9 3 5" xfId="3328"/>
    <cellStyle name="Normal 9 3 6" xfId="33019"/>
    <cellStyle name="Normal 9 3 7" xfId="33020"/>
    <cellStyle name="Normal 9 3 8" xfId="33021"/>
    <cellStyle name="Normal 9 4" xfId="33022"/>
    <cellStyle name="Normal 90" xfId="40088"/>
    <cellStyle name="Normal 90 2" xfId="40089"/>
    <cellStyle name="Normal 90 2 2" xfId="40380"/>
    <cellStyle name="Normal 90 2 2 2" xfId="40381"/>
    <cellStyle name="Normal 90 3" xfId="40382"/>
    <cellStyle name="Normal 91" xfId="40096"/>
    <cellStyle name="Normal 92" xfId="40100"/>
    <cellStyle name="Normal 93" xfId="40102"/>
    <cellStyle name="Normal 94" xfId="40383"/>
    <cellStyle name="Normal 95" xfId="40384"/>
    <cellStyle name="Normal 96" xfId="40385"/>
    <cellStyle name="Normal 97" xfId="40386"/>
    <cellStyle name="Normal 98" xfId="40387"/>
    <cellStyle name="Normal 99" xfId="40388"/>
    <cellStyle name="Normal_Audited Financial statements oF PLC Co.2007 2008  Final  19  06 08" xfId="3329"/>
    <cellStyle name="Note 10" xfId="3330"/>
    <cellStyle name="Note 10 10" xfId="3331"/>
    <cellStyle name="Note 10 11" xfId="33023"/>
    <cellStyle name="Note 10 12" xfId="33024"/>
    <cellStyle name="Note 10 13" xfId="33025"/>
    <cellStyle name="Note 10 14" xfId="33026"/>
    <cellStyle name="Note 10 2" xfId="3332"/>
    <cellStyle name="Note 10 2 2" xfId="3333"/>
    <cellStyle name="Note 10 2 3" xfId="3334"/>
    <cellStyle name="Note 10 2 4" xfId="3335"/>
    <cellStyle name="Note 10 2 5" xfId="3336"/>
    <cellStyle name="Note 10 2 6" xfId="33027"/>
    <cellStyle name="Note 10 2 7" xfId="33028"/>
    <cellStyle name="Note 10 2 8" xfId="33029"/>
    <cellStyle name="Note 10 3" xfId="3337"/>
    <cellStyle name="Note 10 3 2" xfId="3338"/>
    <cellStyle name="Note 10 3 3" xfId="3339"/>
    <cellStyle name="Note 10 3 4" xfId="3340"/>
    <cellStyle name="Note 10 3 5" xfId="3341"/>
    <cellStyle name="Note 10 3 6" xfId="33030"/>
    <cellStyle name="Note 10 3 7" xfId="33031"/>
    <cellStyle name="Note 10 3 8" xfId="33032"/>
    <cellStyle name="Note 10 4" xfId="3342"/>
    <cellStyle name="Note 10 4 2" xfId="3343"/>
    <cellStyle name="Note 10 4 3" xfId="3344"/>
    <cellStyle name="Note 10 4 4" xfId="3345"/>
    <cellStyle name="Note 10 4 5" xfId="3346"/>
    <cellStyle name="Note 10 4 6" xfId="33033"/>
    <cellStyle name="Note 10 4 7" xfId="33034"/>
    <cellStyle name="Note 10 4 8" xfId="33035"/>
    <cellStyle name="Note 10 5" xfId="3347"/>
    <cellStyle name="Note 10 5 2" xfId="3348"/>
    <cellStyle name="Note 10 5 3" xfId="3349"/>
    <cellStyle name="Note 10 5 4" xfId="3350"/>
    <cellStyle name="Note 10 5 5" xfId="3351"/>
    <cellStyle name="Note 10 5 6" xfId="33036"/>
    <cellStyle name="Note 10 5 7" xfId="33037"/>
    <cellStyle name="Note 10 5 8" xfId="33038"/>
    <cellStyle name="Note 10 6" xfId="3352"/>
    <cellStyle name="Note 10 6 2" xfId="3353"/>
    <cellStyle name="Note 10 6 3" xfId="3354"/>
    <cellStyle name="Note 10 6 4" xfId="3355"/>
    <cellStyle name="Note 10 6 5" xfId="3356"/>
    <cellStyle name="Note 10 6 6" xfId="33039"/>
    <cellStyle name="Note 10 6 7" xfId="33040"/>
    <cellStyle name="Note 10 6 8" xfId="33041"/>
    <cellStyle name="Note 10 7" xfId="3357"/>
    <cellStyle name="Note 10 8" xfId="3358"/>
    <cellStyle name="Note 10 9" xfId="3359"/>
    <cellStyle name="Note 100" xfId="3360"/>
    <cellStyle name="Note 100 10" xfId="3361"/>
    <cellStyle name="Note 100 11" xfId="3362"/>
    <cellStyle name="Note 100 12" xfId="33042"/>
    <cellStyle name="Note 100 13" xfId="33043"/>
    <cellStyle name="Note 100 14" xfId="33044"/>
    <cellStyle name="Note 100 2" xfId="3363"/>
    <cellStyle name="Note 100 2 10" xfId="3364"/>
    <cellStyle name="Note 100 2 11" xfId="33045"/>
    <cellStyle name="Note 100 2 12" xfId="33046"/>
    <cellStyle name="Note 100 2 13" xfId="33047"/>
    <cellStyle name="Note 100 2 2" xfId="3365"/>
    <cellStyle name="Note 100 2 2 2" xfId="3366"/>
    <cellStyle name="Note 100 2 2 3" xfId="3367"/>
    <cellStyle name="Note 100 2 2 4" xfId="3368"/>
    <cellStyle name="Note 100 2 2 5" xfId="3369"/>
    <cellStyle name="Note 100 2 2 6" xfId="33048"/>
    <cellStyle name="Note 100 2 2 7" xfId="33049"/>
    <cellStyle name="Note 100 2 2 8" xfId="33050"/>
    <cellStyle name="Note 100 2 3" xfId="3370"/>
    <cellStyle name="Note 100 2 3 2" xfId="3371"/>
    <cellStyle name="Note 100 2 3 3" xfId="3372"/>
    <cellStyle name="Note 100 2 3 4" xfId="3373"/>
    <cellStyle name="Note 100 2 3 5" xfId="3374"/>
    <cellStyle name="Note 100 2 3 6" xfId="33051"/>
    <cellStyle name="Note 100 2 3 7" xfId="33052"/>
    <cellStyle name="Note 100 2 3 8" xfId="33053"/>
    <cellStyle name="Note 100 2 4" xfId="3375"/>
    <cellStyle name="Note 100 2 4 2" xfId="3376"/>
    <cellStyle name="Note 100 2 4 3" xfId="3377"/>
    <cellStyle name="Note 100 2 4 4" xfId="3378"/>
    <cellStyle name="Note 100 2 4 5" xfId="3379"/>
    <cellStyle name="Note 100 2 4 6" xfId="33054"/>
    <cellStyle name="Note 100 2 4 7" xfId="33055"/>
    <cellStyle name="Note 100 2 4 8" xfId="33056"/>
    <cellStyle name="Note 100 2 5" xfId="3380"/>
    <cellStyle name="Note 100 2 5 2" xfId="3381"/>
    <cellStyle name="Note 100 2 5 3" xfId="3382"/>
    <cellStyle name="Note 100 2 5 4" xfId="3383"/>
    <cellStyle name="Note 100 2 5 5" xfId="3384"/>
    <cellStyle name="Note 100 2 5 6" xfId="33057"/>
    <cellStyle name="Note 100 2 5 7" xfId="33058"/>
    <cellStyle name="Note 100 2 5 8" xfId="33059"/>
    <cellStyle name="Note 100 2 6" xfId="3385"/>
    <cellStyle name="Note 100 2 6 2" xfId="3386"/>
    <cellStyle name="Note 100 2 6 3" xfId="3387"/>
    <cellStyle name="Note 100 2 6 4" xfId="3388"/>
    <cellStyle name="Note 100 2 6 5" xfId="3389"/>
    <cellStyle name="Note 100 2 6 6" xfId="33060"/>
    <cellStyle name="Note 100 2 6 7" xfId="33061"/>
    <cellStyle name="Note 100 2 6 8" xfId="33062"/>
    <cellStyle name="Note 100 2 7" xfId="3390"/>
    <cellStyle name="Note 100 2 8" xfId="3391"/>
    <cellStyle name="Note 100 2 9" xfId="3392"/>
    <cellStyle name="Note 100 3" xfId="3393"/>
    <cellStyle name="Note 100 3 2" xfId="3394"/>
    <cellStyle name="Note 100 3 3" xfId="3395"/>
    <cellStyle name="Note 100 3 4" xfId="3396"/>
    <cellStyle name="Note 100 3 5" xfId="3397"/>
    <cellStyle name="Note 100 3 6" xfId="33063"/>
    <cellStyle name="Note 100 3 7" xfId="33064"/>
    <cellStyle name="Note 100 3 8" xfId="33065"/>
    <cellStyle name="Note 100 4" xfId="3398"/>
    <cellStyle name="Note 100 4 2" xfId="3399"/>
    <cellStyle name="Note 100 4 3" xfId="3400"/>
    <cellStyle name="Note 100 4 4" xfId="3401"/>
    <cellStyle name="Note 100 4 5" xfId="3402"/>
    <cellStyle name="Note 100 4 6" xfId="33066"/>
    <cellStyle name="Note 100 4 7" xfId="33067"/>
    <cellStyle name="Note 100 4 8" xfId="33068"/>
    <cellStyle name="Note 100 5" xfId="3403"/>
    <cellStyle name="Note 100 5 2" xfId="3404"/>
    <cellStyle name="Note 100 5 3" xfId="3405"/>
    <cellStyle name="Note 100 5 4" xfId="3406"/>
    <cellStyle name="Note 100 5 5" xfId="3407"/>
    <cellStyle name="Note 100 5 6" xfId="33069"/>
    <cellStyle name="Note 100 5 7" xfId="33070"/>
    <cellStyle name="Note 100 5 8" xfId="33071"/>
    <cellStyle name="Note 100 6" xfId="3408"/>
    <cellStyle name="Note 100 6 2" xfId="3409"/>
    <cellStyle name="Note 100 6 3" xfId="3410"/>
    <cellStyle name="Note 100 6 4" xfId="3411"/>
    <cellStyle name="Note 100 6 5" xfId="3412"/>
    <cellStyle name="Note 100 6 6" xfId="33072"/>
    <cellStyle name="Note 100 6 7" xfId="33073"/>
    <cellStyle name="Note 100 6 8" xfId="33074"/>
    <cellStyle name="Note 100 7" xfId="3413"/>
    <cellStyle name="Note 100 7 2" xfId="3414"/>
    <cellStyle name="Note 100 7 3" xfId="3415"/>
    <cellStyle name="Note 100 7 4" xfId="3416"/>
    <cellStyle name="Note 100 7 5" xfId="3417"/>
    <cellStyle name="Note 100 7 6" xfId="33075"/>
    <cellStyle name="Note 100 7 7" xfId="33076"/>
    <cellStyle name="Note 100 7 8" xfId="33077"/>
    <cellStyle name="Note 100 8" xfId="3418"/>
    <cellStyle name="Note 100 9" xfId="3419"/>
    <cellStyle name="Note 101" xfId="3420"/>
    <cellStyle name="Note 101 10" xfId="3421"/>
    <cellStyle name="Note 101 11" xfId="3422"/>
    <cellStyle name="Note 101 12" xfId="33078"/>
    <cellStyle name="Note 101 13" xfId="33079"/>
    <cellStyle name="Note 101 14" xfId="33080"/>
    <cellStyle name="Note 101 2" xfId="3423"/>
    <cellStyle name="Note 101 2 10" xfId="3424"/>
    <cellStyle name="Note 101 2 11" xfId="33081"/>
    <cellStyle name="Note 101 2 12" xfId="33082"/>
    <cellStyle name="Note 101 2 13" xfId="33083"/>
    <cellStyle name="Note 101 2 2" xfId="3425"/>
    <cellStyle name="Note 101 2 2 2" xfId="3426"/>
    <cellStyle name="Note 101 2 2 3" xfId="3427"/>
    <cellStyle name="Note 101 2 2 4" xfId="3428"/>
    <cellStyle name="Note 101 2 2 5" xfId="3429"/>
    <cellStyle name="Note 101 2 2 6" xfId="33084"/>
    <cellStyle name="Note 101 2 2 7" xfId="33085"/>
    <cellStyle name="Note 101 2 2 8" xfId="33086"/>
    <cellStyle name="Note 101 2 3" xfId="3430"/>
    <cellStyle name="Note 101 2 3 2" xfId="3431"/>
    <cellStyle name="Note 101 2 3 3" xfId="3432"/>
    <cellStyle name="Note 101 2 3 4" xfId="3433"/>
    <cellStyle name="Note 101 2 3 5" xfId="3434"/>
    <cellStyle name="Note 101 2 3 6" xfId="33087"/>
    <cellStyle name="Note 101 2 3 7" xfId="33088"/>
    <cellStyle name="Note 101 2 3 8" xfId="33089"/>
    <cellStyle name="Note 101 2 4" xfId="3435"/>
    <cellStyle name="Note 101 2 4 2" xfId="3436"/>
    <cellStyle name="Note 101 2 4 3" xfId="3437"/>
    <cellStyle name="Note 101 2 4 4" xfId="3438"/>
    <cellStyle name="Note 101 2 4 5" xfId="3439"/>
    <cellStyle name="Note 101 2 4 6" xfId="33090"/>
    <cellStyle name="Note 101 2 4 7" xfId="33091"/>
    <cellStyle name="Note 101 2 4 8" xfId="33092"/>
    <cellStyle name="Note 101 2 5" xfId="3440"/>
    <cellStyle name="Note 101 2 5 2" xfId="3441"/>
    <cellStyle name="Note 101 2 5 3" xfId="3442"/>
    <cellStyle name="Note 101 2 5 4" xfId="3443"/>
    <cellStyle name="Note 101 2 5 5" xfId="3444"/>
    <cellStyle name="Note 101 2 5 6" xfId="33093"/>
    <cellStyle name="Note 101 2 5 7" xfId="33094"/>
    <cellStyle name="Note 101 2 5 8" xfId="33095"/>
    <cellStyle name="Note 101 2 6" xfId="3445"/>
    <cellStyle name="Note 101 2 6 2" xfId="3446"/>
    <cellStyle name="Note 101 2 6 3" xfId="3447"/>
    <cellStyle name="Note 101 2 6 4" xfId="3448"/>
    <cellStyle name="Note 101 2 6 5" xfId="3449"/>
    <cellStyle name="Note 101 2 6 6" xfId="33096"/>
    <cellStyle name="Note 101 2 6 7" xfId="33097"/>
    <cellStyle name="Note 101 2 6 8" xfId="33098"/>
    <cellStyle name="Note 101 2 7" xfId="3450"/>
    <cellStyle name="Note 101 2 8" xfId="3451"/>
    <cellStyle name="Note 101 2 9" xfId="3452"/>
    <cellStyle name="Note 101 3" xfId="3453"/>
    <cellStyle name="Note 101 3 2" xfId="3454"/>
    <cellStyle name="Note 101 3 3" xfId="3455"/>
    <cellStyle name="Note 101 3 4" xfId="3456"/>
    <cellStyle name="Note 101 3 5" xfId="3457"/>
    <cellStyle name="Note 101 3 6" xfId="33099"/>
    <cellStyle name="Note 101 3 7" xfId="33100"/>
    <cellStyle name="Note 101 3 8" xfId="33101"/>
    <cellStyle name="Note 101 4" xfId="3458"/>
    <cellStyle name="Note 101 4 2" xfId="3459"/>
    <cellStyle name="Note 101 4 3" xfId="3460"/>
    <cellStyle name="Note 101 4 4" xfId="3461"/>
    <cellStyle name="Note 101 4 5" xfId="3462"/>
    <cellStyle name="Note 101 4 6" xfId="33102"/>
    <cellStyle name="Note 101 4 7" xfId="33103"/>
    <cellStyle name="Note 101 4 8" xfId="33104"/>
    <cellStyle name="Note 101 5" xfId="3463"/>
    <cellStyle name="Note 101 5 2" xfId="3464"/>
    <cellStyle name="Note 101 5 3" xfId="3465"/>
    <cellStyle name="Note 101 5 4" xfId="3466"/>
    <cellStyle name="Note 101 5 5" xfId="3467"/>
    <cellStyle name="Note 101 5 6" xfId="33105"/>
    <cellStyle name="Note 101 5 7" xfId="33106"/>
    <cellStyle name="Note 101 5 8" xfId="33107"/>
    <cellStyle name="Note 101 6" xfId="3468"/>
    <cellStyle name="Note 101 6 2" xfId="3469"/>
    <cellStyle name="Note 101 6 3" xfId="3470"/>
    <cellStyle name="Note 101 6 4" xfId="3471"/>
    <cellStyle name="Note 101 6 5" xfId="3472"/>
    <cellStyle name="Note 101 6 6" xfId="33108"/>
    <cellStyle name="Note 101 6 7" xfId="33109"/>
    <cellStyle name="Note 101 6 8" xfId="33110"/>
    <cellStyle name="Note 101 7" xfId="3473"/>
    <cellStyle name="Note 101 7 2" xfId="3474"/>
    <cellStyle name="Note 101 7 3" xfId="3475"/>
    <cellStyle name="Note 101 7 4" xfId="3476"/>
    <cellStyle name="Note 101 7 5" xfId="3477"/>
    <cellStyle name="Note 101 7 6" xfId="33111"/>
    <cellStyle name="Note 101 7 7" xfId="33112"/>
    <cellStyle name="Note 101 7 8" xfId="33113"/>
    <cellStyle name="Note 101 8" xfId="3478"/>
    <cellStyle name="Note 101 9" xfId="3479"/>
    <cellStyle name="Note 102" xfId="3480"/>
    <cellStyle name="Note 102 10" xfId="3481"/>
    <cellStyle name="Note 102 11" xfId="3482"/>
    <cellStyle name="Note 102 12" xfId="33114"/>
    <cellStyle name="Note 102 13" xfId="33115"/>
    <cellStyle name="Note 102 14" xfId="33116"/>
    <cellStyle name="Note 102 2" xfId="3483"/>
    <cellStyle name="Note 102 2 10" xfId="3484"/>
    <cellStyle name="Note 102 2 11" xfId="33117"/>
    <cellStyle name="Note 102 2 12" xfId="33118"/>
    <cellStyle name="Note 102 2 13" xfId="33119"/>
    <cellStyle name="Note 102 2 2" xfId="3485"/>
    <cellStyle name="Note 102 2 2 2" xfId="3486"/>
    <cellStyle name="Note 102 2 2 3" xfId="3487"/>
    <cellStyle name="Note 102 2 2 4" xfId="3488"/>
    <cellStyle name="Note 102 2 2 5" xfId="3489"/>
    <cellStyle name="Note 102 2 2 6" xfId="33120"/>
    <cellStyle name="Note 102 2 2 7" xfId="33121"/>
    <cellStyle name="Note 102 2 2 8" xfId="33122"/>
    <cellStyle name="Note 102 2 3" xfId="3490"/>
    <cellStyle name="Note 102 2 3 2" xfId="3491"/>
    <cellStyle name="Note 102 2 3 3" xfId="3492"/>
    <cellStyle name="Note 102 2 3 4" xfId="3493"/>
    <cellStyle name="Note 102 2 3 5" xfId="3494"/>
    <cellStyle name="Note 102 2 3 6" xfId="33123"/>
    <cellStyle name="Note 102 2 3 7" xfId="33124"/>
    <cellStyle name="Note 102 2 3 8" xfId="33125"/>
    <cellStyle name="Note 102 2 4" xfId="3495"/>
    <cellStyle name="Note 102 2 4 2" xfId="3496"/>
    <cellStyle name="Note 102 2 4 3" xfId="3497"/>
    <cellStyle name="Note 102 2 4 4" xfId="3498"/>
    <cellStyle name="Note 102 2 4 5" xfId="3499"/>
    <cellStyle name="Note 102 2 4 6" xfId="33126"/>
    <cellStyle name="Note 102 2 4 7" xfId="33127"/>
    <cellStyle name="Note 102 2 4 8" xfId="33128"/>
    <cellStyle name="Note 102 2 5" xfId="3500"/>
    <cellStyle name="Note 102 2 5 2" xfId="3501"/>
    <cellStyle name="Note 102 2 5 3" xfId="3502"/>
    <cellStyle name="Note 102 2 5 4" xfId="3503"/>
    <cellStyle name="Note 102 2 5 5" xfId="3504"/>
    <cellStyle name="Note 102 2 5 6" xfId="33129"/>
    <cellStyle name="Note 102 2 5 7" xfId="33130"/>
    <cellStyle name="Note 102 2 5 8" xfId="33131"/>
    <cellStyle name="Note 102 2 6" xfId="3505"/>
    <cellStyle name="Note 102 2 6 2" xfId="3506"/>
    <cellStyle name="Note 102 2 6 3" xfId="3507"/>
    <cellStyle name="Note 102 2 6 4" xfId="3508"/>
    <cellStyle name="Note 102 2 6 5" xfId="3509"/>
    <cellStyle name="Note 102 2 6 6" xfId="33132"/>
    <cellStyle name="Note 102 2 6 7" xfId="33133"/>
    <cellStyle name="Note 102 2 6 8" xfId="33134"/>
    <cellStyle name="Note 102 2 7" xfId="3510"/>
    <cellStyle name="Note 102 2 8" xfId="3511"/>
    <cellStyle name="Note 102 2 9" xfId="3512"/>
    <cellStyle name="Note 102 3" xfId="3513"/>
    <cellStyle name="Note 102 3 2" xfId="3514"/>
    <cellStyle name="Note 102 3 3" xfId="3515"/>
    <cellStyle name="Note 102 3 4" xfId="3516"/>
    <cellStyle name="Note 102 3 5" xfId="3517"/>
    <cellStyle name="Note 102 3 6" xfId="33135"/>
    <cellStyle name="Note 102 3 7" xfId="33136"/>
    <cellStyle name="Note 102 3 8" xfId="33137"/>
    <cellStyle name="Note 102 4" xfId="3518"/>
    <cellStyle name="Note 102 4 2" xfId="3519"/>
    <cellStyle name="Note 102 4 3" xfId="3520"/>
    <cellStyle name="Note 102 4 4" xfId="3521"/>
    <cellStyle name="Note 102 4 5" xfId="3522"/>
    <cellStyle name="Note 102 4 6" xfId="33138"/>
    <cellStyle name="Note 102 4 7" xfId="33139"/>
    <cellStyle name="Note 102 4 8" xfId="33140"/>
    <cellStyle name="Note 102 5" xfId="3523"/>
    <cellStyle name="Note 102 5 2" xfId="3524"/>
    <cellStyle name="Note 102 5 3" xfId="3525"/>
    <cellStyle name="Note 102 5 4" xfId="3526"/>
    <cellStyle name="Note 102 5 5" xfId="3527"/>
    <cellStyle name="Note 102 5 6" xfId="33141"/>
    <cellStyle name="Note 102 5 7" xfId="33142"/>
    <cellStyle name="Note 102 5 8" xfId="33143"/>
    <cellStyle name="Note 102 6" xfId="3528"/>
    <cellStyle name="Note 102 6 2" xfId="3529"/>
    <cellStyle name="Note 102 6 3" xfId="3530"/>
    <cellStyle name="Note 102 6 4" xfId="3531"/>
    <cellStyle name="Note 102 6 5" xfId="3532"/>
    <cellStyle name="Note 102 6 6" xfId="33144"/>
    <cellStyle name="Note 102 6 7" xfId="33145"/>
    <cellStyle name="Note 102 6 8" xfId="33146"/>
    <cellStyle name="Note 102 7" xfId="3533"/>
    <cellStyle name="Note 102 7 2" xfId="3534"/>
    <cellStyle name="Note 102 7 3" xfId="3535"/>
    <cellStyle name="Note 102 7 4" xfId="3536"/>
    <cellStyle name="Note 102 7 5" xfId="3537"/>
    <cellStyle name="Note 102 7 6" xfId="33147"/>
    <cellStyle name="Note 102 7 7" xfId="33148"/>
    <cellStyle name="Note 102 7 8" xfId="33149"/>
    <cellStyle name="Note 102 8" xfId="3538"/>
    <cellStyle name="Note 102 9" xfId="3539"/>
    <cellStyle name="Note 103" xfId="3540"/>
    <cellStyle name="Note 103 10" xfId="3541"/>
    <cellStyle name="Note 103 11" xfId="3542"/>
    <cellStyle name="Note 103 12" xfId="33150"/>
    <cellStyle name="Note 103 13" xfId="33151"/>
    <cellStyle name="Note 103 14" xfId="33152"/>
    <cellStyle name="Note 103 2" xfId="3543"/>
    <cellStyle name="Note 103 2 10" xfId="3544"/>
    <cellStyle name="Note 103 2 11" xfId="33153"/>
    <cellStyle name="Note 103 2 12" xfId="33154"/>
    <cellStyle name="Note 103 2 13" xfId="33155"/>
    <cellStyle name="Note 103 2 2" xfId="3545"/>
    <cellStyle name="Note 103 2 2 2" xfId="3546"/>
    <cellStyle name="Note 103 2 2 3" xfId="3547"/>
    <cellStyle name="Note 103 2 2 4" xfId="3548"/>
    <cellStyle name="Note 103 2 2 5" xfId="3549"/>
    <cellStyle name="Note 103 2 2 6" xfId="33156"/>
    <cellStyle name="Note 103 2 2 7" xfId="33157"/>
    <cellStyle name="Note 103 2 2 8" xfId="33158"/>
    <cellStyle name="Note 103 2 3" xfId="3550"/>
    <cellStyle name="Note 103 2 3 2" xfId="3551"/>
    <cellStyle name="Note 103 2 3 3" xfId="3552"/>
    <cellStyle name="Note 103 2 3 4" xfId="3553"/>
    <cellStyle name="Note 103 2 3 5" xfId="3554"/>
    <cellStyle name="Note 103 2 3 6" xfId="33159"/>
    <cellStyle name="Note 103 2 3 7" xfId="33160"/>
    <cellStyle name="Note 103 2 3 8" xfId="33161"/>
    <cellStyle name="Note 103 2 4" xfId="3555"/>
    <cellStyle name="Note 103 2 4 2" xfId="3556"/>
    <cellStyle name="Note 103 2 4 3" xfId="3557"/>
    <cellStyle name="Note 103 2 4 4" xfId="3558"/>
    <cellStyle name="Note 103 2 4 5" xfId="3559"/>
    <cellStyle name="Note 103 2 4 6" xfId="33162"/>
    <cellStyle name="Note 103 2 4 7" xfId="33163"/>
    <cellStyle name="Note 103 2 4 8" xfId="33164"/>
    <cellStyle name="Note 103 2 5" xfId="3560"/>
    <cellStyle name="Note 103 2 5 2" xfId="3561"/>
    <cellStyle name="Note 103 2 5 3" xfId="3562"/>
    <cellStyle name="Note 103 2 5 4" xfId="3563"/>
    <cellStyle name="Note 103 2 5 5" xfId="3564"/>
    <cellStyle name="Note 103 2 5 6" xfId="33165"/>
    <cellStyle name="Note 103 2 5 7" xfId="33166"/>
    <cellStyle name="Note 103 2 5 8" xfId="33167"/>
    <cellStyle name="Note 103 2 6" xfId="3565"/>
    <cellStyle name="Note 103 2 6 2" xfId="3566"/>
    <cellStyle name="Note 103 2 6 3" xfId="3567"/>
    <cellStyle name="Note 103 2 6 4" xfId="3568"/>
    <cellStyle name="Note 103 2 6 5" xfId="3569"/>
    <cellStyle name="Note 103 2 6 6" xfId="33168"/>
    <cellStyle name="Note 103 2 6 7" xfId="33169"/>
    <cellStyle name="Note 103 2 6 8" xfId="33170"/>
    <cellStyle name="Note 103 2 7" xfId="3570"/>
    <cellStyle name="Note 103 2 8" xfId="3571"/>
    <cellStyle name="Note 103 2 9" xfId="3572"/>
    <cellStyle name="Note 103 3" xfId="3573"/>
    <cellStyle name="Note 103 3 2" xfId="3574"/>
    <cellStyle name="Note 103 3 3" xfId="3575"/>
    <cellStyle name="Note 103 3 4" xfId="3576"/>
    <cellStyle name="Note 103 3 5" xfId="3577"/>
    <cellStyle name="Note 103 3 6" xfId="33171"/>
    <cellStyle name="Note 103 3 7" xfId="33172"/>
    <cellStyle name="Note 103 3 8" xfId="33173"/>
    <cellStyle name="Note 103 4" xfId="3578"/>
    <cellStyle name="Note 103 4 2" xfId="3579"/>
    <cellStyle name="Note 103 4 3" xfId="3580"/>
    <cellStyle name="Note 103 4 4" xfId="3581"/>
    <cellStyle name="Note 103 4 5" xfId="3582"/>
    <cellStyle name="Note 103 4 6" xfId="33174"/>
    <cellStyle name="Note 103 4 7" xfId="33175"/>
    <cellStyle name="Note 103 4 8" xfId="33176"/>
    <cellStyle name="Note 103 5" xfId="3583"/>
    <cellStyle name="Note 103 5 2" xfId="3584"/>
    <cellStyle name="Note 103 5 3" xfId="3585"/>
    <cellStyle name="Note 103 5 4" xfId="3586"/>
    <cellStyle name="Note 103 5 5" xfId="3587"/>
    <cellStyle name="Note 103 5 6" xfId="33177"/>
    <cellStyle name="Note 103 5 7" xfId="33178"/>
    <cellStyle name="Note 103 5 8" xfId="33179"/>
    <cellStyle name="Note 103 6" xfId="3588"/>
    <cellStyle name="Note 103 6 2" xfId="3589"/>
    <cellStyle name="Note 103 6 3" xfId="3590"/>
    <cellStyle name="Note 103 6 4" xfId="3591"/>
    <cellStyle name="Note 103 6 5" xfId="3592"/>
    <cellStyle name="Note 103 6 6" xfId="33180"/>
    <cellStyle name="Note 103 6 7" xfId="33181"/>
    <cellStyle name="Note 103 6 8" xfId="33182"/>
    <cellStyle name="Note 103 7" xfId="3593"/>
    <cellStyle name="Note 103 7 2" xfId="3594"/>
    <cellStyle name="Note 103 7 3" xfId="3595"/>
    <cellStyle name="Note 103 7 4" xfId="3596"/>
    <cellStyle name="Note 103 7 5" xfId="3597"/>
    <cellStyle name="Note 103 7 6" xfId="33183"/>
    <cellStyle name="Note 103 7 7" xfId="33184"/>
    <cellStyle name="Note 103 7 8" xfId="33185"/>
    <cellStyle name="Note 103 8" xfId="3598"/>
    <cellStyle name="Note 103 9" xfId="3599"/>
    <cellStyle name="Note 104" xfId="3600"/>
    <cellStyle name="Note 104 10" xfId="3601"/>
    <cellStyle name="Note 104 11" xfId="3602"/>
    <cellStyle name="Note 104 12" xfId="33186"/>
    <cellStyle name="Note 104 13" xfId="33187"/>
    <cellStyle name="Note 104 14" xfId="33188"/>
    <cellStyle name="Note 104 2" xfId="3603"/>
    <cellStyle name="Note 104 2 10" xfId="3604"/>
    <cellStyle name="Note 104 2 11" xfId="33189"/>
    <cellStyle name="Note 104 2 12" xfId="33190"/>
    <cellStyle name="Note 104 2 13" xfId="33191"/>
    <cellStyle name="Note 104 2 2" xfId="3605"/>
    <cellStyle name="Note 104 2 2 2" xfId="3606"/>
    <cellStyle name="Note 104 2 2 3" xfId="3607"/>
    <cellStyle name="Note 104 2 2 4" xfId="3608"/>
    <cellStyle name="Note 104 2 2 5" xfId="3609"/>
    <cellStyle name="Note 104 2 2 6" xfId="33192"/>
    <cellStyle name="Note 104 2 2 7" xfId="33193"/>
    <cellStyle name="Note 104 2 2 8" xfId="33194"/>
    <cellStyle name="Note 104 2 3" xfId="3610"/>
    <cellStyle name="Note 104 2 3 2" xfId="3611"/>
    <cellStyle name="Note 104 2 3 3" xfId="3612"/>
    <cellStyle name="Note 104 2 3 4" xfId="3613"/>
    <cellStyle name="Note 104 2 3 5" xfId="3614"/>
    <cellStyle name="Note 104 2 3 6" xfId="33195"/>
    <cellStyle name="Note 104 2 3 7" xfId="33196"/>
    <cellStyle name="Note 104 2 3 8" xfId="33197"/>
    <cellStyle name="Note 104 2 4" xfId="3615"/>
    <cellStyle name="Note 104 2 4 2" xfId="3616"/>
    <cellStyle name="Note 104 2 4 3" xfId="3617"/>
    <cellStyle name="Note 104 2 4 4" xfId="3618"/>
    <cellStyle name="Note 104 2 4 5" xfId="3619"/>
    <cellStyle name="Note 104 2 4 6" xfId="33198"/>
    <cellStyle name="Note 104 2 4 7" xfId="33199"/>
    <cellStyle name="Note 104 2 4 8" xfId="33200"/>
    <cellStyle name="Note 104 2 5" xfId="3620"/>
    <cellStyle name="Note 104 2 5 2" xfId="3621"/>
    <cellStyle name="Note 104 2 5 3" xfId="3622"/>
    <cellStyle name="Note 104 2 5 4" xfId="3623"/>
    <cellStyle name="Note 104 2 5 5" xfId="3624"/>
    <cellStyle name="Note 104 2 5 6" xfId="33201"/>
    <cellStyle name="Note 104 2 5 7" xfId="33202"/>
    <cellStyle name="Note 104 2 5 8" xfId="33203"/>
    <cellStyle name="Note 104 2 6" xfId="3625"/>
    <cellStyle name="Note 104 2 6 2" xfId="3626"/>
    <cellStyle name="Note 104 2 6 3" xfId="3627"/>
    <cellStyle name="Note 104 2 6 4" xfId="3628"/>
    <cellStyle name="Note 104 2 6 5" xfId="3629"/>
    <cellStyle name="Note 104 2 6 6" xfId="33204"/>
    <cellStyle name="Note 104 2 6 7" xfId="33205"/>
    <cellStyle name="Note 104 2 6 8" xfId="33206"/>
    <cellStyle name="Note 104 2 7" xfId="3630"/>
    <cellStyle name="Note 104 2 8" xfId="3631"/>
    <cellStyle name="Note 104 2 9" xfId="3632"/>
    <cellStyle name="Note 104 3" xfId="3633"/>
    <cellStyle name="Note 104 3 2" xfId="3634"/>
    <cellStyle name="Note 104 3 3" xfId="3635"/>
    <cellStyle name="Note 104 3 4" xfId="3636"/>
    <cellStyle name="Note 104 3 5" xfId="3637"/>
    <cellStyle name="Note 104 3 6" xfId="33207"/>
    <cellStyle name="Note 104 3 7" xfId="33208"/>
    <cellStyle name="Note 104 3 8" xfId="33209"/>
    <cellStyle name="Note 104 4" xfId="3638"/>
    <cellStyle name="Note 104 4 2" xfId="3639"/>
    <cellStyle name="Note 104 4 3" xfId="3640"/>
    <cellStyle name="Note 104 4 4" xfId="3641"/>
    <cellStyle name="Note 104 4 5" xfId="3642"/>
    <cellStyle name="Note 104 4 6" xfId="33210"/>
    <cellStyle name="Note 104 4 7" xfId="33211"/>
    <cellStyle name="Note 104 4 8" xfId="33212"/>
    <cellStyle name="Note 104 5" xfId="3643"/>
    <cellStyle name="Note 104 5 2" xfId="3644"/>
    <cellStyle name="Note 104 5 3" xfId="3645"/>
    <cellStyle name="Note 104 5 4" xfId="3646"/>
    <cellStyle name="Note 104 5 5" xfId="3647"/>
    <cellStyle name="Note 104 5 6" xfId="33213"/>
    <cellStyle name="Note 104 5 7" xfId="33214"/>
    <cellStyle name="Note 104 5 8" xfId="33215"/>
    <cellStyle name="Note 104 6" xfId="3648"/>
    <cellStyle name="Note 104 6 2" xfId="3649"/>
    <cellStyle name="Note 104 6 3" xfId="3650"/>
    <cellStyle name="Note 104 6 4" xfId="3651"/>
    <cellStyle name="Note 104 6 5" xfId="3652"/>
    <cellStyle name="Note 104 6 6" xfId="33216"/>
    <cellStyle name="Note 104 6 7" xfId="33217"/>
    <cellStyle name="Note 104 6 8" xfId="33218"/>
    <cellStyle name="Note 104 7" xfId="3653"/>
    <cellStyle name="Note 104 7 2" xfId="3654"/>
    <cellStyle name="Note 104 7 3" xfId="3655"/>
    <cellStyle name="Note 104 7 4" xfId="3656"/>
    <cellStyle name="Note 104 7 5" xfId="3657"/>
    <cellStyle name="Note 104 7 6" xfId="33219"/>
    <cellStyle name="Note 104 7 7" xfId="33220"/>
    <cellStyle name="Note 104 7 8" xfId="33221"/>
    <cellStyle name="Note 104 8" xfId="3658"/>
    <cellStyle name="Note 104 9" xfId="3659"/>
    <cellStyle name="Note 105" xfId="3660"/>
    <cellStyle name="Note 105 10" xfId="3661"/>
    <cellStyle name="Note 105 11" xfId="3662"/>
    <cellStyle name="Note 105 12" xfId="33222"/>
    <cellStyle name="Note 105 13" xfId="33223"/>
    <cellStyle name="Note 105 14" xfId="33224"/>
    <cellStyle name="Note 105 2" xfId="3663"/>
    <cellStyle name="Note 105 2 10" xfId="3664"/>
    <cellStyle name="Note 105 2 11" xfId="33225"/>
    <cellStyle name="Note 105 2 12" xfId="33226"/>
    <cellStyle name="Note 105 2 13" xfId="33227"/>
    <cellStyle name="Note 105 2 2" xfId="3665"/>
    <cellStyle name="Note 105 2 2 2" xfId="3666"/>
    <cellStyle name="Note 105 2 2 3" xfId="3667"/>
    <cellStyle name="Note 105 2 2 4" xfId="3668"/>
    <cellStyle name="Note 105 2 2 5" xfId="3669"/>
    <cellStyle name="Note 105 2 2 6" xfId="33228"/>
    <cellStyle name="Note 105 2 2 7" xfId="33229"/>
    <cellStyle name="Note 105 2 2 8" xfId="33230"/>
    <cellStyle name="Note 105 2 3" xfId="3670"/>
    <cellStyle name="Note 105 2 3 2" xfId="3671"/>
    <cellStyle name="Note 105 2 3 3" xfId="3672"/>
    <cellStyle name="Note 105 2 3 4" xfId="3673"/>
    <cellStyle name="Note 105 2 3 5" xfId="3674"/>
    <cellStyle name="Note 105 2 3 6" xfId="33231"/>
    <cellStyle name="Note 105 2 3 7" xfId="33232"/>
    <cellStyle name="Note 105 2 3 8" xfId="33233"/>
    <cellStyle name="Note 105 2 4" xfId="3675"/>
    <cellStyle name="Note 105 2 4 2" xfId="3676"/>
    <cellStyle name="Note 105 2 4 3" xfId="3677"/>
    <cellStyle name="Note 105 2 4 4" xfId="3678"/>
    <cellStyle name="Note 105 2 4 5" xfId="3679"/>
    <cellStyle name="Note 105 2 4 6" xfId="33234"/>
    <cellStyle name="Note 105 2 4 7" xfId="33235"/>
    <cellStyle name="Note 105 2 4 8" xfId="33236"/>
    <cellStyle name="Note 105 2 5" xfId="3680"/>
    <cellStyle name="Note 105 2 5 2" xfId="3681"/>
    <cellStyle name="Note 105 2 5 3" xfId="3682"/>
    <cellStyle name="Note 105 2 5 4" xfId="3683"/>
    <cellStyle name="Note 105 2 5 5" xfId="3684"/>
    <cellStyle name="Note 105 2 5 6" xfId="33237"/>
    <cellStyle name="Note 105 2 5 7" xfId="33238"/>
    <cellStyle name="Note 105 2 5 8" xfId="33239"/>
    <cellStyle name="Note 105 2 6" xfId="3685"/>
    <cellStyle name="Note 105 2 6 2" xfId="3686"/>
    <cellStyle name="Note 105 2 6 3" xfId="3687"/>
    <cellStyle name="Note 105 2 6 4" xfId="3688"/>
    <cellStyle name="Note 105 2 6 5" xfId="3689"/>
    <cellStyle name="Note 105 2 6 6" xfId="33240"/>
    <cellStyle name="Note 105 2 6 7" xfId="33241"/>
    <cellStyle name="Note 105 2 6 8" xfId="33242"/>
    <cellStyle name="Note 105 2 7" xfId="3690"/>
    <cellStyle name="Note 105 2 8" xfId="3691"/>
    <cellStyle name="Note 105 2 9" xfId="3692"/>
    <cellStyle name="Note 105 3" xfId="3693"/>
    <cellStyle name="Note 105 3 2" xfId="3694"/>
    <cellStyle name="Note 105 3 3" xfId="3695"/>
    <cellStyle name="Note 105 3 4" xfId="3696"/>
    <cellStyle name="Note 105 3 5" xfId="3697"/>
    <cellStyle name="Note 105 3 6" xfId="33243"/>
    <cellStyle name="Note 105 3 7" xfId="33244"/>
    <cellStyle name="Note 105 3 8" xfId="33245"/>
    <cellStyle name="Note 105 4" xfId="3698"/>
    <cellStyle name="Note 105 4 2" xfId="3699"/>
    <cellStyle name="Note 105 4 3" xfId="3700"/>
    <cellStyle name="Note 105 4 4" xfId="3701"/>
    <cellStyle name="Note 105 4 5" xfId="3702"/>
    <cellStyle name="Note 105 4 6" xfId="33246"/>
    <cellStyle name="Note 105 4 7" xfId="33247"/>
    <cellStyle name="Note 105 4 8" xfId="33248"/>
    <cellStyle name="Note 105 5" xfId="3703"/>
    <cellStyle name="Note 105 5 2" xfId="3704"/>
    <cellStyle name="Note 105 5 3" xfId="3705"/>
    <cellStyle name="Note 105 5 4" xfId="3706"/>
    <cellStyle name="Note 105 5 5" xfId="3707"/>
    <cellStyle name="Note 105 5 6" xfId="33249"/>
    <cellStyle name="Note 105 5 7" xfId="33250"/>
    <cellStyle name="Note 105 5 8" xfId="33251"/>
    <cellStyle name="Note 105 6" xfId="3708"/>
    <cellStyle name="Note 105 6 2" xfId="3709"/>
    <cellStyle name="Note 105 6 3" xfId="3710"/>
    <cellStyle name="Note 105 6 4" xfId="3711"/>
    <cellStyle name="Note 105 6 5" xfId="3712"/>
    <cellStyle name="Note 105 6 6" xfId="33252"/>
    <cellStyle name="Note 105 6 7" xfId="33253"/>
    <cellStyle name="Note 105 6 8" xfId="33254"/>
    <cellStyle name="Note 105 7" xfId="3713"/>
    <cellStyle name="Note 105 7 2" xfId="3714"/>
    <cellStyle name="Note 105 7 3" xfId="3715"/>
    <cellStyle name="Note 105 7 4" xfId="3716"/>
    <cellStyle name="Note 105 7 5" xfId="3717"/>
    <cellStyle name="Note 105 7 6" xfId="33255"/>
    <cellStyle name="Note 105 7 7" xfId="33256"/>
    <cellStyle name="Note 105 7 8" xfId="33257"/>
    <cellStyle name="Note 105 8" xfId="3718"/>
    <cellStyle name="Note 105 9" xfId="3719"/>
    <cellStyle name="Note 106" xfId="3720"/>
    <cellStyle name="Note 106 10" xfId="3721"/>
    <cellStyle name="Note 106 11" xfId="3722"/>
    <cellStyle name="Note 106 12" xfId="33258"/>
    <cellStyle name="Note 106 13" xfId="33259"/>
    <cellStyle name="Note 106 14" xfId="33260"/>
    <cellStyle name="Note 106 2" xfId="3723"/>
    <cellStyle name="Note 106 2 10" xfId="3724"/>
    <cellStyle name="Note 106 2 11" xfId="33261"/>
    <cellStyle name="Note 106 2 12" xfId="33262"/>
    <cellStyle name="Note 106 2 13" xfId="33263"/>
    <cellStyle name="Note 106 2 2" xfId="3725"/>
    <cellStyle name="Note 106 2 2 2" xfId="3726"/>
    <cellStyle name="Note 106 2 2 3" xfId="3727"/>
    <cellStyle name="Note 106 2 2 4" xfId="3728"/>
    <cellStyle name="Note 106 2 2 5" xfId="3729"/>
    <cellStyle name="Note 106 2 2 6" xfId="33264"/>
    <cellStyle name="Note 106 2 2 7" xfId="33265"/>
    <cellStyle name="Note 106 2 2 8" xfId="33266"/>
    <cellStyle name="Note 106 2 3" xfId="3730"/>
    <cellStyle name="Note 106 2 3 2" xfId="3731"/>
    <cellStyle name="Note 106 2 3 3" xfId="3732"/>
    <cellStyle name="Note 106 2 3 4" xfId="3733"/>
    <cellStyle name="Note 106 2 3 5" xfId="3734"/>
    <cellStyle name="Note 106 2 3 6" xfId="33267"/>
    <cellStyle name="Note 106 2 3 7" xfId="33268"/>
    <cellStyle name="Note 106 2 3 8" xfId="33269"/>
    <cellStyle name="Note 106 2 4" xfId="3735"/>
    <cellStyle name="Note 106 2 4 2" xfId="3736"/>
    <cellStyle name="Note 106 2 4 3" xfId="3737"/>
    <cellStyle name="Note 106 2 4 4" xfId="3738"/>
    <cellStyle name="Note 106 2 4 5" xfId="3739"/>
    <cellStyle name="Note 106 2 4 6" xfId="33270"/>
    <cellStyle name="Note 106 2 4 7" xfId="33271"/>
    <cellStyle name="Note 106 2 4 8" xfId="33272"/>
    <cellStyle name="Note 106 2 5" xfId="3740"/>
    <cellStyle name="Note 106 2 5 2" xfId="3741"/>
    <cellStyle name="Note 106 2 5 3" xfId="3742"/>
    <cellStyle name="Note 106 2 5 4" xfId="3743"/>
    <cellStyle name="Note 106 2 5 5" xfId="3744"/>
    <cellStyle name="Note 106 2 5 6" xfId="33273"/>
    <cellStyle name="Note 106 2 5 7" xfId="33274"/>
    <cellStyle name="Note 106 2 5 8" xfId="33275"/>
    <cellStyle name="Note 106 2 6" xfId="3745"/>
    <cellStyle name="Note 106 2 6 2" xfId="3746"/>
    <cellStyle name="Note 106 2 6 3" xfId="3747"/>
    <cellStyle name="Note 106 2 6 4" xfId="3748"/>
    <cellStyle name="Note 106 2 6 5" xfId="3749"/>
    <cellStyle name="Note 106 2 6 6" xfId="33276"/>
    <cellStyle name="Note 106 2 6 7" xfId="33277"/>
    <cellStyle name="Note 106 2 6 8" xfId="33278"/>
    <cellStyle name="Note 106 2 7" xfId="3750"/>
    <cellStyle name="Note 106 2 8" xfId="3751"/>
    <cellStyle name="Note 106 2 9" xfId="3752"/>
    <cellStyle name="Note 106 3" xfId="3753"/>
    <cellStyle name="Note 106 3 2" xfId="3754"/>
    <cellStyle name="Note 106 3 3" xfId="3755"/>
    <cellStyle name="Note 106 3 4" xfId="3756"/>
    <cellStyle name="Note 106 3 5" xfId="3757"/>
    <cellStyle name="Note 106 3 6" xfId="33279"/>
    <cellStyle name="Note 106 3 7" xfId="33280"/>
    <cellStyle name="Note 106 3 8" xfId="33281"/>
    <cellStyle name="Note 106 4" xfId="3758"/>
    <cellStyle name="Note 106 4 2" xfId="3759"/>
    <cellStyle name="Note 106 4 3" xfId="3760"/>
    <cellStyle name="Note 106 4 4" xfId="3761"/>
    <cellStyle name="Note 106 4 5" xfId="3762"/>
    <cellStyle name="Note 106 4 6" xfId="33282"/>
    <cellStyle name="Note 106 4 7" xfId="33283"/>
    <cellStyle name="Note 106 4 8" xfId="33284"/>
    <cellStyle name="Note 106 5" xfId="3763"/>
    <cellStyle name="Note 106 5 2" xfId="3764"/>
    <cellStyle name="Note 106 5 3" xfId="3765"/>
    <cellStyle name="Note 106 5 4" xfId="3766"/>
    <cellStyle name="Note 106 5 5" xfId="3767"/>
    <cellStyle name="Note 106 5 6" xfId="33285"/>
    <cellStyle name="Note 106 5 7" xfId="33286"/>
    <cellStyle name="Note 106 5 8" xfId="33287"/>
    <cellStyle name="Note 106 6" xfId="3768"/>
    <cellStyle name="Note 106 6 2" xfId="3769"/>
    <cellStyle name="Note 106 6 3" xfId="3770"/>
    <cellStyle name="Note 106 6 4" xfId="3771"/>
    <cellStyle name="Note 106 6 5" xfId="3772"/>
    <cellStyle name="Note 106 6 6" xfId="33288"/>
    <cellStyle name="Note 106 6 7" xfId="33289"/>
    <cellStyle name="Note 106 6 8" xfId="33290"/>
    <cellStyle name="Note 106 7" xfId="3773"/>
    <cellStyle name="Note 106 7 2" xfId="3774"/>
    <cellStyle name="Note 106 7 3" xfId="3775"/>
    <cellStyle name="Note 106 7 4" xfId="3776"/>
    <cellStyle name="Note 106 7 5" xfId="3777"/>
    <cellStyle name="Note 106 7 6" xfId="33291"/>
    <cellStyle name="Note 106 7 7" xfId="33292"/>
    <cellStyle name="Note 106 7 8" xfId="33293"/>
    <cellStyle name="Note 106 8" xfId="3778"/>
    <cellStyle name="Note 106 9" xfId="3779"/>
    <cellStyle name="Note 107" xfId="3780"/>
    <cellStyle name="Note 107 10" xfId="3781"/>
    <cellStyle name="Note 107 11" xfId="3782"/>
    <cellStyle name="Note 107 12" xfId="33294"/>
    <cellStyle name="Note 107 13" xfId="33295"/>
    <cellStyle name="Note 107 14" xfId="33296"/>
    <cellStyle name="Note 107 2" xfId="3783"/>
    <cellStyle name="Note 107 2 10" xfId="3784"/>
    <cellStyle name="Note 107 2 11" xfId="33297"/>
    <cellStyle name="Note 107 2 12" xfId="33298"/>
    <cellStyle name="Note 107 2 13" xfId="33299"/>
    <cellStyle name="Note 107 2 2" xfId="3785"/>
    <cellStyle name="Note 107 2 2 2" xfId="3786"/>
    <cellStyle name="Note 107 2 2 3" xfId="3787"/>
    <cellStyle name="Note 107 2 2 4" xfId="3788"/>
    <cellStyle name="Note 107 2 2 5" xfId="3789"/>
    <cellStyle name="Note 107 2 2 6" xfId="33300"/>
    <cellStyle name="Note 107 2 2 7" xfId="33301"/>
    <cellStyle name="Note 107 2 2 8" xfId="33302"/>
    <cellStyle name="Note 107 2 3" xfId="3790"/>
    <cellStyle name="Note 107 2 3 2" xfId="3791"/>
    <cellStyle name="Note 107 2 3 3" xfId="3792"/>
    <cellStyle name="Note 107 2 3 4" xfId="3793"/>
    <cellStyle name="Note 107 2 3 5" xfId="3794"/>
    <cellStyle name="Note 107 2 3 6" xfId="33303"/>
    <cellStyle name="Note 107 2 3 7" xfId="33304"/>
    <cellStyle name="Note 107 2 3 8" xfId="33305"/>
    <cellStyle name="Note 107 2 4" xfId="3795"/>
    <cellStyle name="Note 107 2 4 2" xfId="3796"/>
    <cellStyle name="Note 107 2 4 3" xfId="3797"/>
    <cellStyle name="Note 107 2 4 4" xfId="3798"/>
    <cellStyle name="Note 107 2 4 5" xfId="3799"/>
    <cellStyle name="Note 107 2 4 6" xfId="33306"/>
    <cellStyle name="Note 107 2 4 7" xfId="33307"/>
    <cellStyle name="Note 107 2 4 8" xfId="33308"/>
    <cellStyle name="Note 107 2 5" xfId="3800"/>
    <cellStyle name="Note 107 2 5 2" xfId="3801"/>
    <cellStyle name="Note 107 2 5 3" xfId="3802"/>
    <cellStyle name="Note 107 2 5 4" xfId="3803"/>
    <cellStyle name="Note 107 2 5 5" xfId="3804"/>
    <cellStyle name="Note 107 2 5 6" xfId="33309"/>
    <cellStyle name="Note 107 2 5 7" xfId="33310"/>
    <cellStyle name="Note 107 2 5 8" xfId="33311"/>
    <cellStyle name="Note 107 2 6" xfId="3805"/>
    <cellStyle name="Note 107 2 6 2" xfId="3806"/>
    <cellStyle name="Note 107 2 6 3" xfId="3807"/>
    <cellStyle name="Note 107 2 6 4" xfId="3808"/>
    <cellStyle name="Note 107 2 6 5" xfId="3809"/>
    <cellStyle name="Note 107 2 6 6" xfId="33312"/>
    <cellStyle name="Note 107 2 6 7" xfId="33313"/>
    <cellStyle name="Note 107 2 6 8" xfId="33314"/>
    <cellStyle name="Note 107 2 7" xfId="3810"/>
    <cellStyle name="Note 107 2 8" xfId="3811"/>
    <cellStyle name="Note 107 2 9" xfId="3812"/>
    <cellStyle name="Note 107 3" xfId="3813"/>
    <cellStyle name="Note 107 3 2" xfId="3814"/>
    <cellStyle name="Note 107 3 3" xfId="3815"/>
    <cellStyle name="Note 107 3 4" xfId="3816"/>
    <cellStyle name="Note 107 3 5" xfId="3817"/>
    <cellStyle name="Note 107 3 6" xfId="33315"/>
    <cellStyle name="Note 107 3 7" xfId="33316"/>
    <cellStyle name="Note 107 3 8" xfId="33317"/>
    <cellStyle name="Note 107 4" xfId="3818"/>
    <cellStyle name="Note 107 4 2" xfId="3819"/>
    <cellStyle name="Note 107 4 3" xfId="3820"/>
    <cellStyle name="Note 107 4 4" xfId="3821"/>
    <cellStyle name="Note 107 4 5" xfId="3822"/>
    <cellStyle name="Note 107 4 6" xfId="33318"/>
    <cellStyle name="Note 107 4 7" xfId="33319"/>
    <cellStyle name="Note 107 4 8" xfId="33320"/>
    <cellStyle name="Note 107 5" xfId="3823"/>
    <cellStyle name="Note 107 5 2" xfId="3824"/>
    <cellStyle name="Note 107 5 3" xfId="3825"/>
    <cellStyle name="Note 107 5 4" xfId="3826"/>
    <cellStyle name="Note 107 5 5" xfId="3827"/>
    <cellStyle name="Note 107 5 6" xfId="33321"/>
    <cellStyle name="Note 107 5 7" xfId="33322"/>
    <cellStyle name="Note 107 5 8" xfId="33323"/>
    <cellStyle name="Note 107 6" xfId="3828"/>
    <cellStyle name="Note 107 6 2" xfId="3829"/>
    <cellStyle name="Note 107 6 3" xfId="3830"/>
    <cellStyle name="Note 107 6 4" xfId="3831"/>
    <cellStyle name="Note 107 6 5" xfId="3832"/>
    <cellStyle name="Note 107 6 6" xfId="33324"/>
    <cellStyle name="Note 107 6 7" xfId="33325"/>
    <cellStyle name="Note 107 6 8" xfId="33326"/>
    <cellStyle name="Note 107 7" xfId="3833"/>
    <cellStyle name="Note 107 7 2" xfId="3834"/>
    <cellStyle name="Note 107 7 3" xfId="3835"/>
    <cellStyle name="Note 107 7 4" xfId="3836"/>
    <cellStyle name="Note 107 7 5" xfId="3837"/>
    <cellStyle name="Note 107 7 6" xfId="33327"/>
    <cellStyle name="Note 107 7 7" xfId="33328"/>
    <cellStyle name="Note 107 7 8" xfId="33329"/>
    <cellStyle name="Note 107 8" xfId="3838"/>
    <cellStyle name="Note 107 9" xfId="3839"/>
    <cellStyle name="Note 108" xfId="3840"/>
    <cellStyle name="Note 108 10" xfId="3841"/>
    <cellStyle name="Note 108 11" xfId="3842"/>
    <cellStyle name="Note 108 12" xfId="33330"/>
    <cellStyle name="Note 108 13" xfId="33331"/>
    <cellStyle name="Note 108 14" xfId="33332"/>
    <cellStyle name="Note 108 2" xfId="3843"/>
    <cellStyle name="Note 108 2 10" xfId="3844"/>
    <cellStyle name="Note 108 2 11" xfId="33333"/>
    <cellStyle name="Note 108 2 12" xfId="33334"/>
    <cellStyle name="Note 108 2 13" xfId="33335"/>
    <cellStyle name="Note 108 2 2" xfId="3845"/>
    <cellStyle name="Note 108 2 2 2" xfId="3846"/>
    <cellStyle name="Note 108 2 2 3" xfId="3847"/>
    <cellStyle name="Note 108 2 2 4" xfId="3848"/>
    <cellStyle name="Note 108 2 2 5" xfId="3849"/>
    <cellStyle name="Note 108 2 2 6" xfId="33336"/>
    <cellStyle name="Note 108 2 2 7" xfId="33337"/>
    <cellStyle name="Note 108 2 2 8" xfId="33338"/>
    <cellStyle name="Note 108 2 3" xfId="3850"/>
    <cellStyle name="Note 108 2 3 2" xfId="3851"/>
    <cellStyle name="Note 108 2 3 3" xfId="3852"/>
    <cellStyle name="Note 108 2 3 4" xfId="3853"/>
    <cellStyle name="Note 108 2 3 5" xfId="3854"/>
    <cellStyle name="Note 108 2 3 6" xfId="33339"/>
    <cellStyle name="Note 108 2 3 7" xfId="33340"/>
    <cellStyle name="Note 108 2 3 8" xfId="33341"/>
    <cellStyle name="Note 108 2 4" xfId="3855"/>
    <cellStyle name="Note 108 2 4 2" xfId="3856"/>
    <cellStyle name="Note 108 2 4 3" xfId="3857"/>
    <cellStyle name="Note 108 2 4 4" xfId="3858"/>
    <cellStyle name="Note 108 2 4 5" xfId="3859"/>
    <cellStyle name="Note 108 2 4 6" xfId="33342"/>
    <cellStyle name="Note 108 2 4 7" xfId="33343"/>
    <cellStyle name="Note 108 2 4 8" xfId="33344"/>
    <cellStyle name="Note 108 2 5" xfId="3860"/>
    <cellStyle name="Note 108 2 5 2" xfId="3861"/>
    <cellStyle name="Note 108 2 5 3" xfId="3862"/>
    <cellStyle name="Note 108 2 5 4" xfId="3863"/>
    <cellStyle name="Note 108 2 5 5" xfId="3864"/>
    <cellStyle name="Note 108 2 5 6" xfId="33345"/>
    <cellStyle name="Note 108 2 5 7" xfId="33346"/>
    <cellStyle name="Note 108 2 5 8" xfId="33347"/>
    <cellStyle name="Note 108 2 6" xfId="3865"/>
    <cellStyle name="Note 108 2 6 2" xfId="3866"/>
    <cellStyle name="Note 108 2 6 3" xfId="3867"/>
    <cellStyle name="Note 108 2 6 4" xfId="3868"/>
    <cellStyle name="Note 108 2 6 5" xfId="3869"/>
    <cellStyle name="Note 108 2 6 6" xfId="33348"/>
    <cellStyle name="Note 108 2 6 7" xfId="33349"/>
    <cellStyle name="Note 108 2 6 8" xfId="33350"/>
    <cellStyle name="Note 108 2 7" xfId="3870"/>
    <cellStyle name="Note 108 2 8" xfId="3871"/>
    <cellStyle name="Note 108 2 9" xfId="3872"/>
    <cellStyle name="Note 108 3" xfId="3873"/>
    <cellStyle name="Note 108 3 2" xfId="3874"/>
    <cellStyle name="Note 108 3 3" xfId="3875"/>
    <cellStyle name="Note 108 3 4" xfId="3876"/>
    <cellStyle name="Note 108 3 5" xfId="3877"/>
    <cellStyle name="Note 108 3 6" xfId="33351"/>
    <cellStyle name="Note 108 3 7" xfId="33352"/>
    <cellStyle name="Note 108 3 8" xfId="33353"/>
    <cellStyle name="Note 108 4" xfId="3878"/>
    <cellStyle name="Note 108 4 2" xfId="3879"/>
    <cellStyle name="Note 108 4 3" xfId="3880"/>
    <cellStyle name="Note 108 4 4" xfId="3881"/>
    <cellStyle name="Note 108 4 5" xfId="3882"/>
    <cellStyle name="Note 108 4 6" xfId="33354"/>
    <cellStyle name="Note 108 4 7" xfId="33355"/>
    <cellStyle name="Note 108 4 8" xfId="33356"/>
    <cellStyle name="Note 108 5" xfId="3883"/>
    <cellStyle name="Note 108 5 2" xfId="3884"/>
    <cellStyle name="Note 108 5 3" xfId="3885"/>
    <cellStyle name="Note 108 5 4" xfId="3886"/>
    <cellStyle name="Note 108 5 5" xfId="3887"/>
    <cellStyle name="Note 108 5 6" xfId="33357"/>
    <cellStyle name="Note 108 5 7" xfId="33358"/>
    <cellStyle name="Note 108 5 8" xfId="33359"/>
    <cellStyle name="Note 108 6" xfId="3888"/>
    <cellStyle name="Note 108 6 2" xfId="3889"/>
    <cellStyle name="Note 108 6 3" xfId="3890"/>
    <cellStyle name="Note 108 6 4" xfId="3891"/>
    <cellStyle name="Note 108 6 5" xfId="3892"/>
    <cellStyle name="Note 108 6 6" xfId="33360"/>
    <cellStyle name="Note 108 6 7" xfId="33361"/>
    <cellStyle name="Note 108 6 8" xfId="33362"/>
    <cellStyle name="Note 108 7" xfId="3893"/>
    <cellStyle name="Note 108 7 2" xfId="3894"/>
    <cellStyle name="Note 108 7 3" xfId="3895"/>
    <cellStyle name="Note 108 7 4" xfId="3896"/>
    <cellStyle name="Note 108 7 5" xfId="3897"/>
    <cellStyle name="Note 108 7 6" xfId="33363"/>
    <cellStyle name="Note 108 7 7" xfId="33364"/>
    <cellStyle name="Note 108 7 8" xfId="33365"/>
    <cellStyle name="Note 108 8" xfId="3898"/>
    <cellStyle name="Note 108 9" xfId="3899"/>
    <cellStyle name="Note 109" xfId="3900"/>
    <cellStyle name="Note 109 10" xfId="3901"/>
    <cellStyle name="Note 109 11" xfId="3902"/>
    <cellStyle name="Note 109 12" xfId="33366"/>
    <cellStyle name="Note 109 13" xfId="33367"/>
    <cellStyle name="Note 109 14" xfId="33368"/>
    <cellStyle name="Note 109 2" xfId="3903"/>
    <cellStyle name="Note 109 2 10" xfId="3904"/>
    <cellStyle name="Note 109 2 11" xfId="33369"/>
    <cellStyle name="Note 109 2 12" xfId="33370"/>
    <cellStyle name="Note 109 2 13" xfId="33371"/>
    <cellStyle name="Note 109 2 2" xfId="3905"/>
    <cellStyle name="Note 109 2 2 2" xfId="3906"/>
    <cellStyle name="Note 109 2 2 3" xfId="3907"/>
    <cellStyle name="Note 109 2 2 4" xfId="3908"/>
    <cellStyle name="Note 109 2 2 5" xfId="3909"/>
    <cellStyle name="Note 109 2 2 6" xfId="33372"/>
    <cellStyle name="Note 109 2 2 7" xfId="33373"/>
    <cellStyle name="Note 109 2 2 8" xfId="33374"/>
    <cellStyle name="Note 109 2 3" xfId="3910"/>
    <cellStyle name="Note 109 2 3 2" xfId="3911"/>
    <cellStyle name="Note 109 2 3 3" xfId="3912"/>
    <cellStyle name="Note 109 2 3 4" xfId="3913"/>
    <cellStyle name="Note 109 2 3 5" xfId="3914"/>
    <cellStyle name="Note 109 2 3 6" xfId="33375"/>
    <cellStyle name="Note 109 2 3 7" xfId="33376"/>
    <cellStyle name="Note 109 2 3 8" xfId="33377"/>
    <cellStyle name="Note 109 2 4" xfId="3915"/>
    <cellStyle name="Note 109 2 4 2" xfId="3916"/>
    <cellStyle name="Note 109 2 4 3" xfId="3917"/>
    <cellStyle name="Note 109 2 4 4" xfId="3918"/>
    <cellStyle name="Note 109 2 4 5" xfId="3919"/>
    <cellStyle name="Note 109 2 4 6" xfId="33378"/>
    <cellStyle name="Note 109 2 4 7" xfId="33379"/>
    <cellStyle name="Note 109 2 4 8" xfId="33380"/>
    <cellStyle name="Note 109 2 5" xfId="3920"/>
    <cellStyle name="Note 109 2 5 2" xfId="3921"/>
    <cellStyle name="Note 109 2 5 3" xfId="3922"/>
    <cellStyle name="Note 109 2 5 4" xfId="3923"/>
    <cellStyle name="Note 109 2 5 5" xfId="3924"/>
    <cellStyle name="Note 109 2 5 6" xfId="33381"/>
    <cellStyle name="Note 109 2 5 7" xfId="33382"/>
    <cellStyle name="Note 109 2 5 8" xfId="33383"/>
    <cellStyle name="Note 109 2 6" xfId="3925"/>
    <cellStyle name="Note 109 2 6 2" xfId="3926"/>
    <cellStyle name="Note 109 2 6 3" xfId="3927"/>
    <cellStyle name="Note 109 2 6 4" xfId="3928"/>
    <cellStyle name="Note 109 2 6 5" xfId="3929"/>
    <cellStyle name="Note 109 2 6 6" xfId="33384"/>
    <cellStyle name="Note 109 2 6 7" xfId="33385"/>
    <cellStyle name="Note 109 2 6 8" xfId="33386"/>
    <cellStyle name="Note 109 2 7" xfId="3930"/>
    <cellStyle name="Note 109 2 8" xfId="3931"/>
    <cellStyle name="Note 109 2 9" xfId="3932"/>
    <cellStyle name="Note 109 3" xfId="3933"/>
    <cellStyle name="Note 109 3 2" xfId="3934"/>
    <cellStyle name="Note 109 3 3" xfId="3935"/>
    <cellStyle name="Note 109 3 4" xfId="3936"/>
    <cellStyle name="Note 109 3 5" xfId="3937"/>
    <cellStyle name="Note 109 3 6" xfId="33387"/>
    <cellStyle name="Note 109 3 7" xfId="33388"/>
    <cellStyle name="Note 109 3 8" xfId="33389"/>
    <cellStyle name="Note 109 4" xfId="3938"/>
    <cellStyle name="Note 109 4 2" xfId="3939"/>
    <cellStyle name="Note 109 4 3" xfId="3940"/>
    <cellStyle name="Note 109 4 4" xfId="3941"/>
    <cellStyle name="Note 109 4 5" xfId="3942"/>
    <cellStyle name="Note 109 4 6" xfId="33390"/>
    <cellStyle name="Note 109 4 7" xfId="33391"/>
    <cellStyle name="Note 109 4 8" xfId="33392"/>
    <cellStyle name="Note 109 5" xfId="3943"/>
    <cellStyle name="Note 109 5 2" xfId="3944"/>
    <cellStyle name="Note 109 5 3" xfId="3945"/>
    <cellStyle name="Note 109 5 4" xfId="3946"/>
    <cellStyle name="Note 109 5 5" xfId="3947"/>
    <cellStyle name="Note 109 5 6" xfId="33393"/>
    <cellStyle name="Note 109 5 7" xfId="33394"/>
    <cellStyle name="Note 109 5 8" xfId="33395"/>
    <cellStyle name="Note 109 6" xfId="3948"/>
    <cellStyle name="Note 109 6 2" xfId="3949"/>
    <cellStyle name="Note 109 6 3" xfId="3950"/>
    <cellStyle name="Note 109 6 4" xfId="3951"/>
    <cellStyle name="Note 109 6 5" xfId="3952"/>
    <cellStyle name="Note 109 6 6" xfId="33396"/>
    <cellStyle name="Note 109 6 7" xfId="33397"/>
    <cellStyle name="Note 109 6 8" xfId="33398"/>
    <cellStyle name="Note 109 7" xfId="3953"/>
    <cellStyle name="Note 109 7 2" xfId="3954"/>
    <cellStyle name="Note 109 7 3" xfId="3955"/>
    <cellStyle name="Note 109 7 4" xfId="3956"/>
    <cellStyle name="Note 109 7 5" xfId="3957"/>
    <cellStyle name="Note 109 7 6" xfId="33399"/>
    <cellStyle name="Note 109 7 7" xfId="33400"/>
    <cellStyle name="Note 109 7 8" xfId="33401"/>
    <cellStyle name="Note 109 8" xfId="3958"/>
    <cellStyle name="Note 109 9" xfId="3959"/>
    <cellStyle name="Note 11" xfId="3960"/>
    <cellStyle name="Note 11 10" xfId="3961"/>
    <cellStyle name="Note 11 11" xfId="33402"/>
    <cellStyle name="Note 11 12" xfId="33403"/>
    <cellStyle name="Note 11 13" xfId="33404"/>
    <cellStyle name="Note 11 14" xfId="33405"/>
    <cellStyle name="Note 11 2" xfId="3962"/>
    <cellStyle name="Note 11 2 2" xfId="3963"/>
    <cellStyle name="Note 11 2 3" xfId="3964"/>
    <cellStyle name="Note 11 2 4" xfId="3965"/>
    <cellStyle name="Note 11 2 5" xfId="3966"/>
    <cellStyle name="Note 11 2 6" xfId="33406"/>
    <cellStyle name="Note 11 2 7" xfId="33407"/>
    <cellStyle name="Note 11 2 8" xfId="33408"/>
    <cellStyle name="Note 11 3" xfId="3967"/>
    <cellStyle name="Note 11 3 2" xfId="3968"/>
    <cellStyle name="Note 11 3 3" xfId="3969"/>
    <cellStyle name="Note 11 3 4" xfId="3970"/>
    <cellStyle name="Note 11 3 5" xfId="3971"/>
    <cellStyle name="Note 11 3 6" xfId="33409"/>
    <cellStyle name="Note 11 3 7" xfId="33410"/>
    <cellStyle name="Note 11 3 8" xfId="33411"/>
    <cellStyle name="Note 11 4" xfId="3972"/>
    <cellStyle name="Note 11 4 2" xfId="3973"/>
    <cellStyle name="Note 11 4 3" xfId="3974"/>
    <cellStyle name="Note 11 4 4" xfId="3975"/>
    <cellStyle name="Note 11 4 5" xfId="3976"/>
    <cellStyle name="Note 11 4 6" xfId="33412"/>
    <cellStyle name="Note 11 4 7" xfId="33413"/>
    <cellStyle name="Note 11 4 8" xfId="33414"/>
    <cellStyle name="Note 11 5" xfId="3977"/>
    <cellStyle name="Note 11 5 2" xfId="3978"/>
    <cellStyle name="Note 11 5 3" xfId="3979"/>
    <cellStyle name="Note 11 5 4" xfId="3980"/>
    <cellStyle name="Note 11 5 5" xfId="3981"/>
    <cellStyle name="Note 11 5 6" xfId="33415"/>
    <cellStyle name="Note 11 5 7" xfId="33416"/>
    <cellStyle name="Note 11 5 8" xfId="33417"/>
    <cellStyle name="Note 11 6" xfId="3982"/>
    <cellStyle name="Note 11 6 2" xfId="3983"/>
    <cellStyle name="Note 11 6 3" xfId="3984"/>
    <cellStyle name="Note 11 6 4" xfId="3985"/>
    <cellStyle name="Note 11 6 5" xfId="3986"/>
    <cellStyle name="Note 11 6 6" xfId="33418"/>
    <cellStyle name="Note 11 6 7" xfId="33419"/>
    <cellStyle name="Note 11 6 8" xfId="33420"/>
    <cellStyle name="Note 11 7" xfId="3987"/>
    <cellStyle name="Note 11 8" xfId="3988"/>
    <cellStyle name="Note 11 9" xfId="3989"/>
    <cellStyle name="Note 110" xfId="3990"/>
    <cellStyle name="Note 110 10" xfId="3991"/>
    <cellStyle name="Note 110 11" xfId="3992"/>
    <cellStyle name="Note 110 12" xfId="33421"/>
    <cellStyle name="Note 110 13" xfId="33422"/>
    <cellStyle name="Note 110 14" xfId="33423"/>
    <cellStyle name="Note 110 2" xfId="3993"/>
    <cellStyle name="Note 110 2 10" xfId="3994"/>
    <cellStyle name="Note 110 2 11" xfId="33424"/>
    <cellStyle name="Note 110 2 12" xfId="33425"/>
    <cellStyle name="Note 110 2 13" xfId="33426"/>
    <cellStyle name="Note 110 2 2" xfId="3995"/>
    <cellStyle name="Note 110 2 2 2" xfId="3996"/>
    <cellStyle name="Note 110 2 2 3" xfId="3997"/>
    <cellStyle name="Note 110 2 2 4" xfId="3998"/>
    <cellStyle name="Note 110 2 2 5" xfId="3999"/>
    <cellStyle name="Note 110 2 2 6" xfId="33427"/>
    <cellStyle name="Note 110 2 2 7" xfId="33428"/>
    <cellStyle name="Note 110 2 2 8" xfId="33429"/>
    <cellStyle name="Note 110 2 3" xfId="4000"/>
    <cellStyle name="Note 110 2 3 2" xfId="4001"/>
    <cellStyle name="Note 110 2 3 3" xfId="4002"/>
    <cellStyle name="Note 110 2 3 4" xfId="4003"/>
    <cellStyle name="Note 110 2 3 5" xfId="4004"/>
    <cellStyle name="Note 110 2 3 6" xfId="33430"/>
    <cellStyle name="Note 110 2 3 7" xfId="33431"/>
    <cellStyle name="Note 110 2 3 8" xfId="33432"/>
    <cellStyle name="Note 110 2 4" xfId="4005"/>
    <cellStyle name="Note 110 2 4 2" xfId="4006"/>
    <cellStyle name="Note 110 2 4 3" xfId="4007"/>
    <cellStyle name="Note 110 2 4 4" xfId="4008"/>
    <cellStyle name="Note 110 2 4 5" xfId="4009"/>
    <cellStyle name="Note 110 2 4 6" xfId="33433"/>
    <cellStyle name="Note 110 2 4 7" xfId="33434"/>
    <cellStyle name="Note 110 2 4 8" xfId="33435"/>
    <cellStyle name="Note 110 2 5" xfId="4010"/>
    <cellStyle name="Note 110 2 5 2" xfId="4011"/>
    <cellStyle name="Note 110 2 5 3" xfId="4012"/>
    <cellStyle name="Note 110 2 5 4" xfId="4013"/>
    <cellStyle name="Note 110 2 5 5" xfId="4014"/>
    <cellStyle name="Note 110 2 5 6" xfId="33436"/>
    <cellStyle name="Note 110 2 5 7" xfId="33437"/>
    <cellStyle name="Note 110 2 5 8" xfId="33438"/>
    <cellStyle name="Note 110 2 6" xfId="4015"/>
    <cellStyle name="Note 110 2 6 2" xfId="4016"/>
    <cellStyle name="Note 110 2 6 3" xfId="4017"/>
    <cellStyle name="Note 110 2 6 4" xfId="4018"/>
    <cellStyle name="Note 110 2 6 5" xfId="4019"/>
    <cellStyle name="Note 110 2 6 6" xfId="33439"/>
    <cellStyle name="Note 110 2 6 7" xfId="33440"/>
    <cellStyle name="Note 110 2 6 8" xfId="33441"/>
    <cellStyle name="Note 110 2 7" xfId="4020"/>
    <cellStyle name="Note 110 2 8" xfId="4021"/>
    <cellStyle name="Note 110 2 9" xfId="4022"/>
    <cellStyle name="Note 110 3" xfId="4023"/>
    <cellStyle name="Note 110 3 2" xfId="4024"/>
    <cellStyle name="Note 110 3 3" xfId="4025"/>
    <cellStyle name="Note 110 3 4" xfId="4026"/>
    <cellStyle name="Note 110 3 5" xfId="4027"/>
    <cellStyle name="Note 110 3 6" xfId="33442"/>
    <cellStyle name="Note 110 3 7" xfId="33443"/>
    <cellStyle name="Note 110 3 8" xfId="33444"/>
    <cellStyle name="Note 110 4" xfId="4028"/>
    <cellStyle name="Note 110 4 2" xfId="4029"/>
    <cellStyle name="Note 110 4 3" xfId="4030"/>
    <cellStyle name="Note 110 4 4" xfId="4031"/>
    <cellStyle name="Note 110 4 5" xfId="4032"/>
    <cellStyle name="Note 110 4 6" xfId="33445"/>
    <cellStyle name="Note 110 4 7" xfId="33446"/>
    <cellStyle name="Note 110 4 8" xfId="33447"/>
    <cellStyle name="Note 110 5" xfId="4033"/>
    <cellStyle name="Note 110 5 2" xfId="4034"/>
    <cellStyle name="Note 110 5 3" xfId="4035"/>
    <cellStyle name="Note 110 5 4" xfId="4036"/>
    <cellStyle name="Note 110 5 5" xfId="4037"/>
    <cellStyle name="Note 110 5 6" xfId="33448"/>
    <cellStyle name="Note 110 5 7" xfId="33449"/>
    <cellStyle name="Note 110 5 8" xfId="33450"/>
    <cellStyle name="Note 110 6" xfId="4038"/>
    <cellStyle name="Note 110 6 2" xfId="4039"/>
    <cellStyle name="Note 110 6 3" xfId="4040"/>
    <cellStyle name="Note 110 6 4" xfId="4041"/>
    <cellStyle name="Note 110 6 5" xfId="4042"/>
    <cellStyle name="Note 110 6 6" xfId="33451"/>
    <cellStyle name="Note 110 6 7" xfId="33452"/>
    <cellStyle name="Note 110 6 8" xfId="33453"/>
    <cellStyle name="Note 110 7" xfId="4043"/>
    <cellStyle name="Note 110 7 2" xfId="4044"/>
    <cellStyle name="Note 110 7 3" xfId="4045"/>
    <cellStyle name="Note 110 7 4" xfId="4046"/>
    <cellStyle name="Note 110 7 5" xfId="4047"/>
    <cellStyle name="Note 110 7 6" xfId="33454"/>
    <cellStyle name="Note 110 7 7" xfId="33455"/>
    <cellStyle name="Note 110 7 8" xfId="33456"/>
    <cellStyle name="Note 110 8" xfId="4048"/>
    <cellStyle name="Note 110 9" xfId="4049"/>
    <cellStyle name="Note 111" xfId="4050"/>
    <cellStyle name="Note 111 10" xfId="4051"/>
    <cellStyle name="Note 111 11" xfId="4052"/>
    <cellStyle name="Note 111 12" xfId="33457"/>
    <cellStyle name="Note 111 13" xfId="33458"/>
    <cellStyle name="Note 111 14" xfId="33459"/>
    <cellStyle name="Note 111 2" xfId="4053"/>
    <cellStyle name="Note 111 2 10" xfId="4054"/>
    <cellStyle name="Note 111 2 11" xfId="33460"/>
    <cellStyle name="Note 111 2 12" xfId="33461"/>
    <cellStyle name="Note 111 2 13" xfId="33462"/>
    <cellStyle name="Note 111 2 2" xfId="4055"/>
    <cellStyle name="Note 111 2 2 2" xfId="4056"/>
    <cellStyle name="Note 111 2 2 3" xfId="4057"/>
    <cellStyle name="Note 111 2 2 4" xfId="4058"/>
    <cellStyle name="Note 111 2 2 5" xfId="4059"/>
    <cellStyle name="Note 111 2 2 6" xfId="33463"/>
    <cellStyle name="Note 111 2 2 7" xfId="33464"/>
    <cellStyle name="Note 111 2 2 8" xfId="33465"/>
    <cellStyle name="Note 111 2 3" xfId="4060"/>
    <cellStyle name="Note 111 2 3 2" xfId="4061"/>
    <cellStyle name="Note 111 2 3 3" xfId="4062"/>
    <cellStyle name="Note 111 2 3 4" xfId="4063"/>
    <cellStyle name="Note 111 2 3 5" xfId="4064"/>
    <cellStyle name="Note 111 2 3 6" xfId="33466"/>
    <cellStyle name="Note 111 2 3 7" xfId="33467"/>
    <cellStyle name="Note 111 2 3 8" xfId="33468"/>
    <cellStyle name="Note 111 2 4" xfId="4065"/>
    <cellStyle name="Note 111 2 4 2" xfId="4066"/>
    <cellStyle name="Note 111 2 4 3" xfId="4067"/>
    <cellStyle name="Note 111 2 4 4" xfId="4068"/>
    <cellStyle name="Note 111 2 4 5" xfId="4069"/>
    <cellStyle name="Note 111 2 4 6" xfId="33469"/>
    <cellStyle name="Note 111 2 4 7" xfId="33470"/>
    <cellStyle name="Note 111 2 4 8" xfId="33471"/>
    <cellStyle name="Note 111 2 5" xfId="4070"/>
    <cellStyle name="Note 111 2 5 2" xfId="4071"/>
    <cellStyle name="Note 111 2 5 3" xfId="4072"/>
    <cellStyle name="Note 111 2 5 4" xfId="4073"/>
    <cellStyle name="Note 111 2 5 5" xfId="4074"/>
    <cellStyle name="Note 111 2 5 6" xfId="33472"/>
    <cellStyle name="Note 111 2 5 7" xfId="33473"/>
    <cellStyle name="Note 111 2 5 8" xfId="33474"/>
    <cellStyle name="Note 111 2 6" xfId="4075"/>
    <cellStyle name="Note 111 2 6 2" xfId="4076"/>
    <cellStyle name="Note 111 2 6 3" xfId="4077"/>
    <cellStyle name="Note 111 2 6 4" xfId="4078"/>
    <cellStyle name="Note 111 2 6 5" xfId="4079"/>
    <cellStyle name="Note 111 2 6 6" xfId="33475"/>
    <cellStyle name="Note 111 2 6 7" xfId="33476"/>
    <cellStyle name="Note 111 2 6 8" xfId="33477"/>
    <cellStyle name="Note 111 2 7" xfId="4080"/>
    <cellStyle name="Note 111 2 8" xfId="4081"/>
    <cellStyle name="Note 111 2 9" xfId="4082"/>
    <cellStyle name="Note 111 3" xfId="4083"/>
    <cellStyle name="Note 111 3 2" xfId="4084"/>
    <cellStyle name="Note 111 3 3" xfId="4085"/>
    <cellStyle name="Note 111 3 4" xfId="4086"/>
    <cellStyle name="Note 111 3 5" xfId="4087"/>
    <cellStyle name="Note 111 3 6" xfId="33478"/>
    <cellStyle name="Note 111 3 7" xfId="33479"/>
    <cellStyle name="Note 111 3 8" xfId="33480"/>
    <cellStyle name="Note 111 4" xfId="4088"/>
    <cellStyle name="Note 111 4 2" xfId="4089"/>
    <cellStyle name="Note 111 4 3" xfId="4090"/>
    <cellStyle name="Note 111 4 4" xfId="4091"/>
    <cellStyle name="Note 111 4 5" xfId="4092"/>
    <cellStyle name="Note 111 4 6" xfId="33481"/>
    <cellStyle name="Note 111 4 7" xfId="33482"/>
    <cellStyle name="Note 111 4 8" xfId="33483"/>
    <cellStyle name="Note 111 5" xfId="4093"/>
    <cellStyle name="Note 111 5 2" xfId="4094"/>
    <cellStyle name="Note 111 5 3" xfId="4095"/>
    <cellStyle name="Note 111 5 4" xfId="4096"/>
    <cellStyle name="Note 111 5 5" xfId="4097"/>
    <cellStyle name="Note 111 5 6" xfId="33484"/>
    <cellStyle name="Note 111 5 7" xfId="33485"/>
    <cellStyle name="Note 111 5 8" xfId="33486"/>
    <cellStyle name="Note 111 6" xfId="4098"/>
    <cellStyle name="Note 111 6 2" xfId="4099"/>
    <cellStyle name="Note 111 6 3" xfId="4100"/>
    <cellStyle name="Note 111 6 4" xfId="4101"/>
    <cellStyle name="Note 111 6 5" xfId="4102"/>
    <cellStyle name="Note 111 6 6" xfId="33487"/>
    <cellStyle name="Note 111 6 7" xfId="33488"/>
    <cellStyle name="Note 111 6 8" xfId="33489"/>
    <cellStyle name="Note 111 7" xfId="4103"/>
    <cellStyle name="Note 111 7 2" xfId="4104"/>
    <cellStyle name="Note 111 7 3" xfId="4105"/>
    <cellStyle name="Note 111 7 4" xfId="4106"/>
    <cellStyle name="Note 111 7 5" xfId="4107"/>
    <cellStyle name="Note 111 7 6" xfId="33490"/>
    <cellStyle name="Note 111 7 7" xfId="33491"/>
    <cellStyle name="Note 111 7 8" xfId="33492"/>
    <cellStyle name="Note 111 8" xfId="4108"/>
    <cellStyle name="Note 111 9" xfId="4109"/>
    <cellStyle name="Note 112" xfId="4110"/>
    <cellStyle name="Note 112 10" xfId="4111"/>
    <cellStyle name="Note 112 11" xfId="4112"/>
    <cellStyle name="Note 112 12" xfId="33493"/>
    <cellStyle name="Note 112 13" xfId="33494"/>
    <cellStyle name="Note 112 14" xfId="33495"/>
    <cellStyle name="Note 112 2" xfId="4113"/>
    <cellStyle name="Note 112 2 10" xfId="4114"/>
    <cellStyle name="Note 112 2 11" xfId="33496"/>
    <cellStyle name="Note 112 2 12" xfId="33497"/>
    <cellStyle name="Note 112 2 13" xfId="33498"/>
    <cellStyle name="Note 112 2 2" xfId="4115"/>
    <cellStyle name="Note 112 2 2 2" xfId="4116"/>
    <cellStyle name="Note 112 2 2 3" xfId="4117"/>
    <cellStyle name="Note 112 2 2 4" xfId="4118"/>
    <cellStyle name="Note 112 2 2 5" xfId="4119"/>
    <cellStyle name="Note 112 2 2 6" xfId="33499"/>
    <cellStyle name="Note 112 2 2 7" xfId="33500"/>
    <cellStyle name="Note 112 2 2 8" xfId="33501"/>
    <cellStyle name="Note 112 2 3" xfId="4120"/>
    <cellStyle name="Note 112 2 3 2" xfId="4121"/>
    <cellStyle name="Note 112 2 3 3" xfId="4122"/>
    <cellStyle name="Note 112 2 3 4" xfId="4123"/>
    <cellStyle name="Note 112 2 3 5" xfId="4124"/>
    <cellStyle name="Note 112 2 3 6" xfId="33502"/>
    <cellStyle name="Note 112 2 3 7" xfId="33503"/>
    <cellStyle name="Note 112 2 3 8" xfId="33504"/>
    <cellStyle name="Note 112 2 4" xfId="4125"/>
    <cellStyle name="Note 112 2 4 2" xfId="4126"/>
    <cellStyle name="Note 112 2 4 3" xfId="4127"/>
    <cellStyle name="Note 112 2 4 4" xfId="4128"/>
    <cellStyle name="Note 112 2 4 5" xfId="4129"/>
    <cellStyle name="Note 112 2 4 6" xfId="33505"/>
    <cellStyle name="Note 112 2 4 7" xfId="33506"/>
    <cellStyle name="Note 112 2 4 8" xfId="33507"/>
    <cellStyle name="Note 112 2 5" xfId="4130"/>
    <cellStyle name="Note 112 2 5 2" xfId="4131"/>
    <cellStyle name="Note 112 2 5 3" xfId="4132"/>
    <cellStyle name="Note 112 2 5 4" xfId="4133"/>
    <cellStyle name="Note 112 2 5 5" xfId="4134"/>
    <cellStyle name="Note 112 2 5 6" xfId="33508"/>
    <cellStyle name="Note 112 2 5 7" xfId="33509"/>
    <cellStyle name="Note 112 2 5 8" xfId="33510"/>
    <cellStyle name="Note 112 2 6" xfId="4135"/>
    <cellStyle name="Note 112 2 6 2" xfId="4136"/>
    <cellStyle name="Note 112 2 6 3" xfId="4137"/>
    <cellStyle name="Note 112 2 6 4" xfId="4138"/>
    <cellStyle name="Note 112 2 6 5" xfId="4139"/>
    <cellStyle name="Note 112 2 6 6" xfId="33511"/>
    <cellStyle name="Note 112 2 6 7" xfId="33512"/>
    <cellStyle name="Note 112 2 6 8" xfId="33513"/>
    <cellStyle name="Note 112 2 7" xfId="4140"/>
    <cellStyle name="Note 112 2 8" xfId="4141"/>
    <cellStyle name="Note 112 2 9" xfId="4142"/>
    <cellStyle name="Note 112 3" xfId="4143"/>
    <cellStyle name="Note 112 3 2" xfId="4144"/>
    <cellStyle name="Note 112 3 3" xfId="4145"/>
    <cellStyle name="Note 112 3 4" xfId="4146"/>
    <cellStyle name="Note 112 3 5" xfId="4147"/>
    <cellStyle name="Note 112 3 6" xfId="33514"/>
    <cellStyle name="Note 112 3 7" xfId="33515"/>
    <cellStyle name="Note 112 3 8" xfId="33516"/>
    <cellStyle name="Note 112 4" xfId="4148"/>
    <cellStyle name="Note 112 4 2" xfId="4149"/>
    <cellStyle name="Note 112 4 3" xfId="4150"/>
    <cellStyle name="Note 112 4 4" xfId="4151"/>
    <cellStyle name="Note 112 4 5" xfId="4152"/>
    <cellStyle name="Note 112 4 6" xfId="33517"/>
    <cellStyle name="Note 112 4 7" xfId="33518"/>
    <cellStyle name="Note 112 4 8" xfId="33519"/>
    <cellStyle name="Note 112 5" xfId="4153"/>
    <cellStyle name="Note 112 5 2" xfId="4154"/>
    <cellStyle name="Note 112 5 3" xfId="4155"/>
    <cellStyle name="Note 112 5 4" xfId="4156"/>
    <cellStyle name="Note 112 5 5" xfId="4157"/>
    <cellStyle name="Note 112 5 6" xfId="33520"/>
    <cellStyle name="Note 112 5 7" xfId="33521"/>
    <cellStyle name="Note 112 5 8" xfId="33522"/>
    <cellStyle name="Note 112 6" xfId="4158"/>
    <cellStyle name="Note 112 6 2" xfId="4159"/>
    <cellStyle name="Note 112 6 3" xfId="4160"/>
    <cellStyle name="Note 112 6 4" xfId="4161"/>
    <cellStyle name="Note 112 6 5" xfId="4162"/>
    <cellStyle name="Note 112 6 6" xfId="33523"/>
    <cellStyle name="Note 112 6 7" xfId="33524"/>
    <cellStyle name="Note 112 6 8" xfId="33525"/>
    <cellStyle name="Note 112 7" xfId="4163"/>
    <cellStyle name="Note 112 7 2" xfId="4164"/>
    <cellStyle name="Note 112 7 3" xfId="4165"/>
    <cellStyle name="Note 112 7 4" xfId="4166"/>
    <cellStyle name="Note 112 7 5" xfId="4167"/>
    <cellStyle name="Note 112 7 6" xfId="33526"/>
    <cellStyle name="Note 112 7 7" xfId="33527"/>
    <cellStyle name="Note 112 7 8" xfId="33528"/>
    <cellStyle name="Note 112 8" xfId="4168"/>
    <cellStyle name="Note 112 9" xfId="4169"/>
    <cellStyle name="Note 113" xfId="4170"/>
    <cellStyle name="Note 113 10" xfId="4171"/>
    <cellStyle name="Note 113 11" xfId="4172"/>
    <cellStyle name="Note 113 12" xfId="33529"/>
    <cellStyle name="Note 113 13" xfId="33530"/>
    <cellStyle name="Note 113 14" xfId="33531"/>
    <cellStyle name="Note 113 2" xfId="4173"/>
    <cellStyle name="Note 113 2 10" xfId="4174"/>
    <cellStyle name="Note 113 2 11" xfId="33532"/>
    <cellStyle name="Note 113 2 12" xfId="33533"/>
    <cellStyle name="Note 113 2 13" xfId="33534"/>
    <cellStyle name="Note 113 2 2" xfId="4175"/>
    <cellStyle name="Note 113 2 2 2" xfId="4176"/>
    <cellStyle name="Note 113 2 2 3" xfId="4177"/>
    <cellStyle name="Note 113 2 2 4" xfId="4178"/>
    <cellStyle name="Note 113 2 2 5" xfId="4179"/>
    <cellStyle name="Note 113 2 2 6" xfId="33535"/>
    <cellStyle name="Note 113 2 2 7" xfId="33536"/>
    <cellStyle name="Note 113 2 2 8" xfId="33537"/>
    <cellStyle name="Note 113 2 3" xfId="4180"/>
    <cellStyle name="Note 113 2 3 2" xfId="4181"/>
    <cellStyle name="Note 113 2 3 3" xfId="4182"/>
    <cellStyle name="Note 113 2 3 4" xfId="4183"/>
    <cellStyle name="Note 113 2 3 5" xfId="4184"/>
    <cellStyle name="Note 113 2 3 6" xfId="33538"/>
    <cellStyle name="Note 113 2 3 7" xfId="33539"/>
    <cellStyle name="Note 113 2 3 8" xfId="33540"/>
    <cellStyle name="Note 113 2 4" xfId="4185"/>
    <cellStyle name="Note 113 2 4 2" xfId="4186"/>
    <cellStyle name="Note 113 2 4 3" xfId="4187"/>
    <cellStyle name="Note 113 2 4 4" xfId="4188"/>
    <cellStyle name="Note 113 2 4 5" xfId="4189"/>
    <cellStyle name="Note 113 2 4 6" xfId="33541"/>
    <cellStyle name="Note 113 2 4 7" xfId="33542"/>
    <cellStyle name="Note 113 2 4 8" xfId="33543"/>
    <cellStyle name="Note 113 2 5" xfId="4190"/>
    <cellStyle name="Note 113 2 5 2" xfId="4191"/>
    <cellStyle name="Note 113 2 5 3" xfId="4192"/>
    <cellStyle name="Note 113 2 5 4" xfId="4193"/>
    <cellStyle name="Note 113 2 5 5" xfId="4194"/>
    <cellStyle name="Note 113 2 5 6" xfId="33544"/>
    <cellStyle name="Note 113 2 5 7" xfId="33545"/>
    <cellStyle name="Note 113 2 5 8" xfId="33546"/>
    <cellStyle name="Note 113 2 6" xfId="4195"/>
    <cellStyle name="Note 113 2 6 2" xfId="4196"/>
    <cellStyle name="Note 113 2 6 3" xfId="4197"/>
    <cellStyle name="Note 113 2 6 4" xfId="4198"/>
    <cellStyle name="Note 113 2 6 5" xfId="4199"/>
    <cellStyle name="Note 113 2 6 6" xfId="33547"/>
    <cellStyle name="Note 113 2 6 7" xfId="33548"/>
    <cellStyle name="Note 113 2 6 8" xfId="33549"/>
    <cellStyle name="Note 113 2 7" xfId="4200"/>
    <cellStyle name="Note 113 2 8" xfId="4201"/>
    <cellStyle name="Note 113 2 9" xfId="4202"/>
    <cellStyle name="Note 113 3" xfId="4203"/>
    <cellStyle name="Note 113 3 2" xfId="4204"/>
    <cellStyle name="Note 113 3 3" xfId="4205"/>
    <cellStyle name="Note 113 3 4" xfId="4206"/>
    <cellStyle name="Note 113 3 5" xfId="4207"/>
    <cellStyle name="Note 113 3 6" xfId="33550"/>
    <cellStyle name="Note 113 3 7" xfId="33551"/>
    <cellStyle name="Note 113 3 8" xfId="33552"/>
    <cellStyle name="Note 113 4" xfId="4208"/>
    <cellStyle name="Note 113 4 2" xfId="4209"/>
    <cellStyle name="Note 113 4 3" xfId="4210"/>
    <cellStyle name="Note 113 4 4" xfId="4211"/>
    <cellStyle name="Note 113 4 5" xfId="4212"/>
    <cellStyle name="Note 113 4 6" xfId="33553"/>
    <cellStyle name="Note 113 4 7" xfId="33554"/>
    <cellStyle name="Note 113 4 8" xfId="33555"/>
    <cellStyle name="Note 113 5" xfId="4213"/>
    <cellStyle name="Note 113 5 2" xfId="4214"/>
    <cellStyle name="Note 113 5 3" xfId="4215"/>
    <cellStyle name="Note 113 5 4" xfId="4216"/>
    <cellStyle name="Note 113 5 5" xfId="4217"/>
    <cellStyle name="Note 113 5 6" xfId="33556"/>
    <cellStyle name="Note 113 5 7" xfId="33557"/>
    <cellStyle name="Note 113 5 8" xfId="33558"/>
    <cellStyle name="Note 113 6" xfId="4218"/>
    <cellStyle name="Note 113 6 2" xfId="4219"/>
    <cellStyle name="Note 113 6 3" xfId="4220"/>
    <cellStyle name="Note 113 6 4" xfId="4221"/>
    <cellStyle name="Note 113 6 5" xfId="4222"/>
    <cellStyle name="Note 113 6 6" xfId="33559"/>
    <cellStyle name="Note 113 6 7" xfId="33560"/>
    <cellStyle name="Note 113 6 8" xfId="33561"/>
    <cellStyle name="Note 113 7" xfId="4223"/>
    <cellStyle name="Note 113 7 2" xfId="4224"/>
    <cellStyle name="Note 113 7 3" xfId="4225"/>
    <cellStyle name="Note 113 7 4" xfId="4226"/>
    <cellStyle name="Note 113 7 5" xfId="4227"/>
    <cellStyle name="Note 113 7 6" xfId="33562"/>
    <cellStyle name="Note 113 7 7" xfId="33563"/>
    <cellStyle name="Note 113 7 8" xfId="33564"/>
    <cellStyle name="Note 113 8" xfId="4228"/>
    <cellStyle name="Note 113 9" xfId="4229"/>
    <cellStyle name="Note 114" xfId="4230"/>
    <cellStyle name="Note 114 10" xfId="4231"/>
    <cellStyle name="Note 114 11" xfId="4232"/>
    <cellStyle name="Note 114 12" xfId="33565"/>
    <cellStyle name="Note 114 13" xfId="33566"/>
    <cellStyle name="Note 114 14" xfId="33567"/>
    <cellStyle name="Note 114 2" xfId="4233"/>
    <cellStyle name="Note 114 2 10" xfId="4234"/>
    <cellStyle name="Note 114 2 11" xfId="33568"/>
    <cellStyle name="Note 114 2 12" xfId="33569"/>
    <cellStyle name="Note 114 2 13" xfId="33570"/>
    <cellStyle name="Note 114 2 2" xfId="4235"/>
    <cellStyle name="Note 114 2 2 2" xfId="4236"/>
    <cellStyle name="Note 114 2 2 3" xfId="4237"/>
    <cellStyle name="Note 114 2 2 4" xfId="4238"/>
    <cellStyle name="Note 114 2 2 5" xfId="4239"/>
    <cellStyle name="Note 114 2 2 6" xfId="33571"/>
    <cellStyle name="Note 114 2 2 7" xfId="33572"/>
    <cellStyle name="Note 114 2 2 8" xfId="33573"/>
    <cellStyle name="Note 114 2 3" xfId="4240"/>
    <cellStyle name="Note 114 2 3 2" xfId="4241"/>
    <cellStyle name="Note 114 2 3 3" xfId="4242"/>
    <cellStyle name="Note 114 2 3 4" xfId="4243"/>
    <cellStyle name="Note 114 2 3 5" xfId="4244"/>
    <cellStyle name="Note 114 2 3 6" xfId="33574"/>
    <cellStyle name="Note 114 2 3 7" xfId="33575"/>
    <cellStyle name="Note 114 2 3 8" xfId="33576"/>
    <cellStyle name="Note 114 2 4" xfId="4245"/>
    <cellStyle name="Note 114 2 4 2" xfId="4246"/>
    <cellStyle name="Note 114 2 4 3" xfId="4247"/>
    <cellStyle name="Note 114 2 4 4" xfId="4248"/>
    <cellStyle name="Note 114 2 4 5" xfId="4249"/>
    <cellStyle name="Note 114 2 4 6" xfId="33577"/>
    <cellStyle name="Note 114 2 4 7" xfId="33578"/>
    <cellStyle name="Note 114 2 4 8" xfId="33579"/>
    <cellStyle name="Note 114 2 5" xfId="4250"/>
    <cellStyle name="Note 114 2 5 2" xfId="4251"/>
    <cellStyle name="Note 114 2 5 3" xfId="4252"/>
    <cellStyle name="Note 114 2 5 4" xfId="4253"/>
    <cellStyle name="Note 114 2 5 5" xfId="4254"/>
    <cellStyle name="Note 114 2 5 6" xfId="33580"/>
    <cellStyle name="Note 114 2 5 7" xfId="33581"/>
    <cellStyle name="Note 114 2 5 8" xfId="33582"/>
    <cellStyle name="Note 114 2 6" xfId="4255"/>
    <cellStyle name="Note 114 2 6 2" xfId="4256"/>
    <cellStyle name="Note 114 2 6 3" xfId="4257"/>
    <cellStyle name="Note 114 2 6 4" xfId="4258"/>
    <cellStyle name="Note 114 2 6 5" xfId="4259"/>
    <cellStyle name="Note 114 2 6 6" xfId="33583"/>
    <cellStyle name="Note 114 2 6 7" xfId="33584"/>
    <cellStyle name="Note 114 2 6 8" xfId="33585"/>
    <cellStyle name="Note 114 2 7" xfId="4260"/>
    <cellStyle name="Note 114 2 8" xfId="4261"/>
    <cellStyle name="Note 114 2 9" xfId="4262"/>
    <cellStyle name="Note 114 3" xfId="4263"/>
    <cellStyle name="Note 114 3 2" xfId="4264"/>
    <cellStyle name="Note 114 3 3" xfId="4265"/>
    <cellStyle name="Note 114 3 4" xfId="4266"/>
    <cellStyle name="Note 114 3 5" xfId="4267"/>
    <cellStyle name="Note 114 3 6" xfId="33586"/>
    <cellStyle name="Note 114 3 7" xfId="33587"/>
    <cellStyle name="Note 114 3 8" xfId="33588"/>
    <cellStyle name="Note 114 4" xfId="4268"/>
    <cellStyle name="Note 114 4 2" xfId="4269"/>
    <cellStyle name="Note 114 4 3" xfId="4270"/>
    <cellStyle name="Note 114 4 4" xfId="4271"/>
    <cellStyle name="Note 114 4 5" xfId="4272"/>
    <cellStyle name="Note 114 4 6" xfId="33589"/>
    <cellStyle name="Note 114 4 7" xfId="33590"/>
    <cellStyle name="Note 114 4 8" xfId="33591"/>
    <cellStyle name="Note 114 5" xfId="4273"/>
    <cellStyle name="Note 114 5 2" xfId="4274"/>
    <cellStyle name="Note 114 5 3" xfId="4275"/>
    <cellStyle name="Note 114 5 4" xfId="4276"/>
    <cellStyle name="Note 114 5 5" xfId="4277"/>
    <cellStyle name="Note 114 5 6" xfId="33592"/>
    <cellStyle name="Note 114 5 7" xfId="33593"/>
    <cellStyle name="Note 114 5 8" xfId="33594"/>
    <cellStyle name="Note 114 6" xfId="4278"/>
    <cellStyle name="Note 114 6 2" xfId="4279"/>
    <cellStyle name="Note 114 6 3" xfId="4280"/>
    <cellStyle name="Note 114 6 4" xfId="4281"/>
    <cellStyle name="Note 114 6 5" xfId="4282"/>
    <cellStyle name="Note 114 6 6" xfId="33595"/>
    <cellStyle name="Note 114 6 7" xfId="33596"/>
    <cellStyle name="Note 114 6 8" xfId="33597"/>
    <cellStyle name="Note 114 7" xfId="4283"/>
    <cellStyle name="Note 114 7 2" xfId="4284"/>
    <cellStyle name="Note 114 7 3" xfId="4285"/>
    <cellStyle name="Note 114 7 4" xfId="4286"/>
    <cellStyle name="Note 114 7 5" xfId="4287"/>
    <cellStyle name="Note 114 7 6" xfId="33598"/>
    <cellStyle name="Note 114 7 7" xfId="33599"/>
    <cellStyle name="Note 114 7 8" xfId="33600"/>
    <cellStyle name="Note 114 8" xfId="4288"/>
    <cellStyle name="Note 114 9" xfId="4289"/>
    <cellStyle name="Note 115" xfId="4290"/>
    <cellStyle name="Note 115 10" xfId="4291"/>
    <cellStyle name="Note 115 11" xfId="4292"/>
    <cellStyle name="Note 115 12" xfId="33601"/>
    <cellStyle name="Note 115 13" xfId="33602"/>
    <cellStyle name="Note 115 14" xfId="33603"/>
    <cellStyle name="Note 115 2" xfId="4293"/>
    <cellStyle name="Note 115 2 10" xfId="4294"/>
    <cellStyle name="Note 115 2 11" xfId="33604"/>
    <cellStyle name="Note 115 2 12" xfId="33605"/>
    <cellStyle name="Note 115 2 13" xfId="33606"/>
    <cellStyle name="Note 115 2 2" xfId="4295"/>
    <cellStyle name="Note 115 2 2 2" xfId="4296"/>
    <cellStyle name="Note 115 2 2 3" xfId="4297"/>
    <cellStyle name="Note 115 2 2 4" xfId="4298"/>
    <cellStyle name="Note 115 2 2 5" xfId="4299"/>
    <cellStyle name="Note 115 2 2 6" xfId="33607"/>
    <cellStyle name="Note 115 2 2 7" xfId="33608"/>
    <cellStyle name="Note 115 2 2 8" xfId="33609"/>
    <cellStyle name="Note 115 2 3" xfId="4300"/>
    <cellStyle name="Note 115 2 3 2" xfId="4301"/>
    <cellStyle name="Note 115 2 3 3" xfId="4302"/>
    <cellStyle name="Note 115 2 3 4" xfId="4303"/>
    <cellStyle name="Note 115 2 3 5" xfId="4304"/>
    <cellStyle name="Note 115 2 3 6" xfId="33610"/>
    <cellStyle name="Note 115 2 3 7" xfId="33611"/>
    <cellStyle name="Note 115 2 3 8" xfId="33612"/>
    <cellStyle name="Note 115 2 4" xfId="4305"/>
    <cellStyle name="Note 115 2 4 2" xfId="4306"/>
    <cellStyle name="Note 115 2 4 3" xfId="4307"/>
    <cellStyle name="Note 115 2 4 4" xfId="4308"/>
    <cellStyle name="Note 115 2 4 5" xfId="4309"/>
    <cellStyle name="Note 115 2 4 6" xfId="33613"/>
    <cellStyle name="Note 115 2 4 7" xfId="33614"/>
    <cellStyle name="Note 115 2 4 8" xfId="33615"/>
    <cellStyle name="Note 115 2 5" xfId="4310"/>
    <cellStyle name="Note 115 2 5 2" xfId="4311"/>
    <cellStyle name="Note 115 2 5 3" xfId="4312"/>
    <cellStyle name="Note 115 2 5 4" xfId="4313"/>
    <cellStyle name="Note 115 2 5 5" xfId="4314"/>
    <cellStyle name="Note 115 2 5 6" xfId="33616"/>
    <cellStyle name="Note 115 2 5 7" xfId="33617"/>
    <cellStyle name="Note 115 2 5 8" xfId="33618"/>
    <cellStyle name="Note 115 2 6" xfId="4315"/>
    <cellStyle name="Note 115 2 6 2" xfId="4316"/>
    <cellStyle name="Note 115 2 6 3" xfId="4317"/>
    <cellStyle name="Note 115 2 6 4" xfId="4318"/>
    <cellStyle name="Note 115 2 6 5" xfId="4319"/>
    <cellStyle name="Note 115 2 6 6" xfId="33619"/>
    <cellStyle name="Note 115 2 6 7" xfId="33620"/>
    <cellStyle name="Note 115 2 6 8" xfId="33621"/>
    <cellStyle name="Note 115 2 7" xfId="4320"/>
    <cellStyle name="Note 115 2 8" xfId="4321"/>
    <cellStyle name="Note 115 2 9" xfId="4322"/>
    <cellStyle name="Note 115 3" xfId="4323"/>
    <cellStyle name="Note 115 3 2" xfId="4324"/>
    <cellStyle name="Note 115 3 3" xfId="4325"/>
    <cellStyle name="Note 115 3 4" xfId="4326"/>
    <cellStyle name="Note 115 3 5" xfId="4327"/>
    <cellStyle name="Note 115 3 6" xfId="33622"/>
    <cellStyle name="Note 115 3 7" xfId="33623"/>
    <cellStyle name="Note 115 3 8" xfId="33624"/>
    <cellStyle name="Note 115 4" xfId="4328"/>
    <cellStyle name="Note 115 4 2" xfId="4329"/>
    <cellStyle name="Note 115 4 3" xfId="4330"/>
    <cellStyle name="Note 115 4 4" xfId="4331"/>
    <cellStyle name="Note 115 4 5" xfId="4332"/>
    <cellStyle name="Note 115 4 6" xfId="33625"/>
    <cellStyle name="Note 115 4 7" xfId="33626"/>
    <cellStyle name="Note 115 4 8" xfId="33627"/>
    <cellStyle name="Note 115 5" xfId="4333"/>
    <cellStyle name="Note 115 5 2" xfId="4334"/>
    <cellStyle name="Note 115 5 3" xfId="4335"/>
    <cellStyle name="Note 115 5 4" xfId="4336"/>
    <cellStyle name="Note 115 5 5" xfId="4337"/>
    <cellStyle name="Note 115 5 6" xfId="33628"/>
    <cellStyle name="Note 115 5 7" xfId="33629"/>
    <cellStyle name="Note 115 5 8" xfId="33630"/>
    <cellStyle name="Note 115 6" xfId="4338"/>
    <cellStyle name="Note 115 6 2" xfId="4339"/>
    <cellStyle name="Note 115 6 3" xfId="4340"/>
    <cellStyle name="Note 115 6 4" xfId="4341"/>
    <cellStyle name="Note 115 6 5" xfId="4342"/>
    <cellStyle name="Note 115 6 6" xfId="33631"/>
    <cellStyle name="Note 115 6 7" xfId="33632"/>
    <cellStyle name="Note 115 6 8" xfId="33633"/>
    <cellStyle name="Note 115 7" xfId="4343"/>
    <cellStyle name="Note 115 7 2" xfId="4344"/>
    <cellStyle name="Note 115 7 3" xfId="4345"/>
    <cellStyle name="Note 115 7 4" xfId="4346"/>
    <cellStyle name="Note 115 7 5" xfId="4347"/>
    <cellStyle name="Note 115 7 6" xfId="33634"/>
    <cellStyle name="Note 115 7 7" xfId="33635"/>
    <cellStyle name="Note 115 7 8" xfId="33636"/>
    <cellStyle name="Note 115 8" xfId="4348"/>
    <cellStyle name="Note 115 9" xfId="4349"/>
    <cellStyle name="Note 116" xfId="4350"/>
    <cellStyle name="Note 116 10" xfId="4351"/>
    <cellStyle name="Note 116 11" xfId="4352"/>
    <cellStyle name="Note 116 12" xfId="33637"/>
    <cellStyle name="Note 116 13" xfId="33638"/>
    <cellStyle name="Note 116 14" xfId="33639"/>
    <cellStyle name="Note 116 2" xfId="4353"/>
    <cellStyle name="Note 116 2 10" xfId="4354"/>
    <cellStyle name="Note 116 2 11" xfId="33640"/>
    <cellStyle name="Note 116 2 12" xfId="33641"/>
    <cellStyle name="Note 116 2 13" xfId="33642"/>
    <cellStyle name="Note 116 2 2" xfId="4355"/>
    <cellStyle name="Note 116 2 2 2" xfId="4356"/>
    <cellStyle name="Note 116 2 2 3" xfId="4357"/>
    <cellStyle name="Note 116 2 2 4" xfId="4358"/>
    <cellStyle name="Note 116 2 2 5" xfId="4359"/>
    <cellStyle name="Note 116 2 2 6" xfId="33643"/>
    <cellStyle name="Note 116 2 2 7" xfId="33644"/>
    <cellStyle name="Note 116 2 2 8" xfId="33645"/>
    <cellStyle name="Note 116 2 3" xfId="4360"/>
    <cellStyle name="Note 116 2 3 2" xfId="4361"/>
    <cellStyle name="Note 116 2 3 3" xfId="4362"/>
    <cellStyle name="Note 116 2 3 4" xfId="4363"/>
    <cellStyle name="Note 116 2 3 5" xfId="4364"/>
    <cellStyle name="Note 116 2 3 6" xfId="33646"/>
    <cellStyle name="Note 116 2 3 7" xfId="33647"/>
    <cellStyle name="Note 116 2 3 8" xfId="33648"/>
    <cellStyle name="Note 116 2 4" xfId="4365"/>
    <cellStyle name="Note 116 2 4 2" xfId="4366"/>
    <cellStyle name="Note 116 2 4 3" xfId="4367"/>
    <cellStyle name="Note 116 2 4 4" xfId="4368"/>
    <cellStyle name="Note 116 2 4 5" xfId="4369"/>
    <cellStyle name="Note 116 2 4 6" xfId="33649"/>
    <cellStyle name="Note 116 2 4 7" xfId="33650"/>
    <cellStyle name="Note 116 2 4 8" xfId="33651"/>
    <cellStyle name="Note 116 2 5" xfId="4370"/>
    <cellStyle name="Note 116 2 5 2" xfId="4371"/>
    <cellStyle name="Note 116 2 5 3" xfId="4372"/>
    <cellStyle name="Note 116 2 5 4" xfId="4373"/>
    <cellStyle name="Note 116 2 5 5" xfId="4374"/>
    <cellStyle name="Note 116 2 5 6" xfId="33652"/>
    <cellStyle name="Note 116 2 5 7" xfId="33653"/>
    <cellStyle name="Note 116 2 5 8" xfId="33654"/>
    <cellStyle name="Note 116 2 6" xfId="4375"/>
    <cellStyle name="Note 116 2 6 2" xfId="4376"/>
    <cellStyle name="Note 116 2 6 3" xfId="4377"/>
    <cellStyle name="Note 116 2 6 4" xfId="4378"/>
    <cellStyle name="Note 116 2 6 5" xfId="4379"/>
    <cellStyle name="Note 116 2 6 6" xfId="33655"/>
    <cellStyle name="Note 116 2 6 7" xfId="33656"/>
    <cellStyle name="Note 116 2 6 8" xfId="33657"/>
    <cellStyle name="Note 116 2 7" xfId="4380"/>
    <cellStyle name="Note 116 2 8" xfId="4381"/>
    <cellStyle name="Note 116 2 9" xfId="4382"/>
    <cellStyle name="Note 116 3" xfId="4383"/>
    <cellStyle name="Note 116 3 2" xfId="4384"/>
    <cellStyle name="Note 116 3 3" xfId="4385"/>
    <cellStyle name="Note 116 3 4" xfId="4386"/>
    <cellStyle name="Note 116 3 5" xfId="4387"/>
    <cellStyle name="Note 116 3 6" xfId="33658"/>
    <cellStyle name="Note 116 3 7" xfId="33659"/>
    <cellStyle name="Note 116 3 8" xfId="33660"/>
    <cellStyle name="Note 116 4" xfId="4388"/>
    <cellStyle name="Note 116 4 2" xfId="4389"/>
    <cellStyle name="Note 116 4 3" xfId="4390"/>
    <cellStyle name="Note 116 4 4" xfId="4391"/>
    <cellStyle name="Note 116 4 5" xfId="4392"/>
    <cellStyle name="Note 116 4 6" xfId="33661"/>
    <cellStyle name="Note 116 4 7" xfId="33662"/>
    <cellStyle name="Note 116 4 8" xfId="33663"/>
    <cellStyle name="Note 116 5" xfId="4393"/>
    <cellStyle name="Note 116 5 2" xfId="4394"/>
    <cellStyle name="Note 116 5 3" xfId="4395"/>
    <cellStyle name="Note 116 5 4" xfId="4396"/>
    <cellStyle name="Note 116 5 5" xfId="4397"/>
    <cellStyle name="Note 116 5 6" xfId="33664"/>
    <cellStyle name="Note 116 5 7" xfId="33665"/>
    <cellStyle name="Note 116 5 8" xfId="33666"/>
    <cellStyle name="Note 116 6" xfId="4398"/>
    <cellStyle name="Note 116 6 2" xfId="4399"/>
    <cellStyle name="Note 116 6 3" xfId="4400"/>
    <cellStyle name="Note 116 6 4" xfId="4401"/>
    <cellStyle name="Note 116 6 5" xfId="4402"/>
    <cellStyle name="Note 116 6 6" xfId="33667"/>
    <cellStyle name="Note 116 6 7" xfId="33668"/>
    <cellStyle name="Note 116 6 8" xfId="33669"/>
    <cellStyle name="Note 116 7" xfId="4403"/>
    <cellStyle name="Note 116 7 2" xfId="4404"/>
    <cellStyle name="Note 116 7 3" xfId="4405"/>
    <cellStyle name="Note 116 7 4" xfId="4406"/>
    <cellStyle name="Note 116 7 5" xfId="4407"/>
    <cellStyle name="Note 116 7 6" xfId="33670"/>
    <cellStyle name="Note 116 7 7" xfId="33671"/>
    <cellStyle name="Note 116 7 8" xfId="33672"/>
    <cellStyle name="Note 116 8" xfId="4408"/>
    <cellStyle name="Note 116 9" xfId="4409"/>
    <cellStyle name="Note 117" xfId="4410"/>
    <cellStyle name="Note 117 10" xfId="4411"/>
    <cellStyle name="Note 117 11" xfId="4412"/>
    <cellStyle name="Note 117 12" xfId="33673"/>
    <cellStyle name="Note 117 13" xfId="33674"/>
    <cellStyle name="Note 117 14" xfId="33675"/>
    <cellStyle name="Note 117 2" xfId="4413"/>
    <cellStyle name="Note 117 2 10" xfId="4414"/>
    <cellStyle name="Note 117 2 11" xfId="33676"/>
    <cellStyle name="Note 117 2 12" xfId="33677"/>
    <cellStyle name="Note 117 2 13" xfId="33678"/>
    <cellStyle name="Note 117 2 2" xfId="4415"/>
    <cellStyle name="Note 117 2 2 2" xfId="4416"/>
    <cellStyle name="Note 117 2 2 3" xfId="4417"/>
    <cellStyle name="Note 117 2 2 4" xfId="4418"/>
    <cellStyle name="Note 117 2 2 5" xfId="4419"/>
    <cellStyle name="Note 117 2 2 6" xfId="33679"/>
    <cellStyle name="Note 117 2 2 7" xfId="33680"/>
    <cellStyle name="Note 117 2 2 8" xfId="33681"/>
    <cellStyle name="Note 117 2 3" xfId="4420"/>
    <cellStyle name="Note 117 2 3 2" xfId="4421"/>
    <cellStyle name="Note 117 2 3 3" xfId="4422"/>
    <cellStyle name="Note 117 2 3 4" xfId="4423"/>
    <cellStyle name="Note 117 2 3 5" xfId="4424"/>
    <cellStyle name="Note 117 2 3 6" xfId="33682"/>
    <cellStyle name="Note 117 2 3 7" xfId="33683"/>
    <cellStyle name="Note 117 2 3 8" xfId="33684"/>
    <cellStyle name="Note 117 2 4" xfId="4425"/>
    <cellStyle name="Note 117 2 4 2" xfId="4426"/>
    <cellStyle name="Note 117 2 4 3" xfId="4427"/>
    <cellStyle name="Note 117 2 4 4" xfId="4428"/>
    <cellStyle name="Note 117 2 4 5" xfId="4429"/>
    <cellStyle name="Note 117 2 4 6" xfId="33685"/>
    <cellStyle name="Note 117 2 4 7" xfId="33686"/>
    <cellStyle name="Note 117 2 4 8" xfId="33687"/>
    <cellStyle name="Note 117 2 5" xfId="4430"/>
    <cellStyle name="Note 117 2 5 2" xfId="4431"/>
    <cellStyle name="Note 117 2 5 3" xfId="4432"/>
    <cellStyle name="Note 117 2 5 4" xfId="4433"/>
    <cellStyle name="Note 117 2 5 5" xfId="4434"/>
    <cellStyle name="Note 117 2 5 6" xfId="33688"/>
    <cellStyle name="Note 117 2 5 7" xfId="33689"/>
    <cellStyle name="Note 117 2 5 8" xfId="33690"/>
    <cellStyle name="Note 117 2 6" xfId="4435"/>
    <cellStyle name="Note 117 2 6 2" xfId="4436"/>
    <cellStyle name="Note 117 2 6 3" xfId="4437"/>
    <cellStyle name="Note 117 2 6 4" xfId="4438"/>
    <cellStyle name="Note 117 2 6 5" xfId="4439"/>
    <cellStyle name="Note 117 2 6 6" xfId="33691"/>
    <cellStyle name="Note 117 2 6 7" xfId="33692"/>
    <cellStyle name="Note 117 2 6 8" xfId="33693"/>
    <cellStyle name="Note 117 2 7" xfId="4440"/>
    <cellStyle name="Note 117 2 8" xfId="4441"/>
    <cellStyle name="Note 117 2 9" xfId="4442"/>
    <cellStyle name="Note 117 3" xfId="4443"/>
    <cellStyle name="Note 117 3 2" xfId="4444"/>
    <cellStyle name="Note 117 3 3" xfId="4445"/>
    <cellStyle name="Note 117 3 4" xfId="4446"/>
    <cellStyle name="Note 117 3 5" xfId="4447"/>
    <cellStyle name="Note 117 3 6" xfId="33694"/>
    <cellStyle name="Note 117 3 7" xfId="33695"/>
    <cellStyle name="Note 117 3 8" xfId="33696"/>
    <cellStyle name="Note 117 4" xfId="4448"/>
    <cellStyle name="Note 117 4 2" xfId="4449"/>
    <cellStyle name="Note 117 4 3" xfId="4450"/>
    <cellStyle name="Note 117 4 4" xfId="4451"/>
    <cellStyle name="Note 117 4 5" xfId="4452"/>
    <cellStyle name="Note 117 4 6" xfId="33697"/>
    <cellStyle name="Note 117 4 7" xfId="33698"/>
    <cellStyle name="Note 117 4 8" xfId="33699"/>
    <cellStyle name="Note 117 5" xfId="4453"/>
    <cellStyle name="Note 117 5 2" xfId="4454"/>
    <cellStyle name="Note 117 5 3" xfId="4455"/>
    <cellStyle name="Note 117 5 4" xfId="4456"/>
    <cellStyle name="Note 117 5 5" xfId="4457"/>
    <cellStyle name="Note 117 5 6" xfId="33700"/>
    <cellStyle name="Note 117 5 7" xfId="33701"/>
    <cellStyle name="Note 117 5 8" xfId="33702"/>
    <cellStyle name="Note 117 6" xfId="4458"/>
    <cellStyle name="Note 117 6 2" xfId="4459"/>
    <cellStyle name="Note 117 6 3" xfId="4460"/>
    <cellStyle name="Note 117 6 4" xfId="4461"/>
    <cellStyle name="Note 117 6 5" xfId="4462"/>
    <cellStyle name="Note 117 6 6" xfId="33703"/>
    <cellStyle name="Note 117 6 7" xfId="33704"/>
    <cellStyle name="Note 117 6 8" xfId="33705"/>
    <cellStyle name="Note 117 7" xfId="4463"/>
    <cellStyle name="Note 117 7 2" xfId="4464"/>
    <cellStyle name="Note 117 7 3" xfId="4465"/>
    <cellStyle name="Note 117 7 4" xfId="4466"/>
    <cellStyle name="Note 117 7 5" xfId="4467"/>
    <cellStyle name="Note 117 7 6" xfId="33706"/>
    <cellStyle name="Note 117 7 7" xfId="33707"/>
    <cellStyle name="Note 117 7 8" xfId="33708"/>
    <cellStyle name="Note 117 8" xfId="4468"/>
    <cellStyle name="Note 117 9" xfId="4469"/>
    <cellStyle name="Note 118" xfId="4470"/>
    <cellStyle name="Note 118 10" xfId="4471"/>
    <cellStyle name="Note 118 11" xfId="4472"/>
    <cellStyle name="Note 118 12" xfId="33709"/>
    <cellStyle name="Note 118 13" xfId="33710"/>
    <cellStyle name="Note 118 14" xfId="33711"/>
    <cellStyle name="Note 118 2" xfId="4473"/>
    <cellStyle name="Note 118 2 10" xfId="4474"/>
    <cellStyle name="Note 118 2 11" xfId="33712"/>
    <cellStyle name="Note 118 2 12" xfId="33713"/>
    <cellStyle name="Note 118 2 13" xfId="33714"/>
    <cellStyle name="Note 118 2 2" xfId="4475"/>
    <cellStyle name="Note 118 2 2 2" xfId="4476"/>
    <cellStyle name="Note 118 2 2 3" xfId="4477"/>
    <cellStyle name="Note 118 2 2 4" xfId="4478"/>
    <cellStyle name="Note 118 2 2 5" xfId="4479"/>
    <cellStyle name="Note 118 2 2 6" xfId="33715"/>
    <cellStyle name="Note 118 2 2 7" xfId="33716"/>
    <cellStyle name="Note 118 2 2 8" xfId="33717"/>
    <cellStyle name="Note 118 2 3" xfId="4480"/>
    <cellStyle name="Note 118 2 3 2" xfId="4481"/>
    <cellStyle name="Note 118 2 3 3" xfId="4482"/>
    <cellStyle name="Note 118 2 3 4" xfId="4483"/>
    <cellStyle name="Note 118 2 3 5" xfId="4484"/>
    <cellStyle name="Note 118 2 3 6" xfId="33718"/>
    <cellStyle name="Note 118 2 3 7" xfId="33719"/>
    <cellStyle name="Note 118 2 3 8" xfId="33720"/>
    <cellStyle name="Note 118 2 4" xfId="4485"/>
    <cellStyle name="Note 118 2 4 2" xfId="4486"/>
    <cellStyle name="Note 118 2 4 3" xfId="4487"/>
    <cellStyle name="Note 118 2 4 4" xfId="4488"/>
    <cellStyle name="Note 118 2 4 5" xfId="4489"/>
    <cellStyle name="Note 118 2 4 6" xfId="33721"/>
    <cellStyle name="Note 118 2 4 7" xfId="33722"/>
    <cellStyle name="Note 118 2 4 8" xfId="33723"/>
    <cellStyle name="Note 118 2 5" xfId="4490"/>
    <cellStyle name="Note 118 2 5 2" xfId="4491"/>
    <cellStyle name="Note 118 2 5 3" xfId="4492"/>
    <cellStyle name="Note 118 2 5 4" xfId="4493"/>
    <cellStyle name="Note 118 2 5 5" xfId="4494"/>
    <cellStyle name="Note 118 2 5 6" xfId="33724"/>
    <cellStyle name="Note 118 2 5 7" xfId="33725"/>
    <cellStyle name="Note 118 2 5 8" xfId="33726"/>
    <cellStyle name="Note 118 2 6" xfId="4495"/>
    <cellStyle name="Note 118 2 6 2" xfId="4496"/>
    <cellStyle name="Note 118 2 6 3" xfId="4497"/>
    <cellStyle name="Note 118 2 6 4" xfId="4498"/>
    <cellStyle name="Note 118 2 6 5" xfId="4499"/>
    <cellStyle name="Note 118 2 6 6" xfId="33727"/>
    <cellStyle name="Note 118 2 6 7" xfId="33728"/>
    <cellStyle name="Note 118 2 6 8" xfId="33729"/>
    <cellStyle name="Note 118 2 7" xfId="4500"/>
    <cellStyle name="Note 118 2 8" xfId="4501"/>
    <cellStyle name="Note 118 2 9" xfId="4502"/>
    <cellStyle name="Note 118 3" xfId="4503"/>
    <cellStyle name="Note 118 3 2" xfId="4504"/>
    <cellStyle name="Note 118 3 3" xfId="4505"/>
    <cellStyle name="Note 118 3 4" xfId="4506"/>
    <cellStyle name="Note 118 3 5" xfId="4507"/>
    <cellStyle name="Note 118 3 6" xfId="33730"/>
    <cellStyle name="Note 118 3 7" xfId="33731"/>
    <cellStyle name="Note 118 3 8" xfId="33732"/>
    <cellStyle name="Note 118 4" xfId="4508"/>
    <cellStyle name="Note 118 4 2" xfId="4509"/>
    <cellStyle name="Note 118 4 3" xfId="4510"/>
    <cellStyle name="Note 118 4 4" xfId="4511"/>
    <cellStyle name="Note 118 4 5" xfId="4512"/>
    <cellStyle name="Note 118 4 6" xfId="33733"/>
    <cellStyle name="Note 118 4 7" xfId="33734"/>
    <cellStyle name="Note 118 4 8" xfId="33735"/>
    <cellStyle name="Note 118 5" xfId="4513"/>
    <cellStyle name="Note 118 5 2" xfId="4514"/>
    <cellStyle name="Note 118 5 3" xfId="4515"/>
    <cellStyle name="Note 118 5 4" xfId="4516"/>
    <cellStyle name="Note 118 5 5" xfId="4517"/>
    <cellStyle name="Note 118 5 6" xfId="33736"/>
    <cellStyle name="Note 118 5 7" xfId="33737"/>
    <cellStyle name="Note 118 5 8" xfId="33738"/>
    <cellStyle name="Note 118 6" xfId="4518"/>
    <cellStyle name="Note 118 6 2" xfId="4519"/>
    <cellStyle name="Note 118 6 3" xfId="4520"/>
    <cellStyle name="Note 118 6 4" xfId="4521"/>
    <cellStyle name="Note 118 6 5" xfId="4522"/>
    <cellStyle name="Note 118 6 6" xfId="33739"/>
    <cellStyle name="Note 118 6 7" xfId="33740"/>
    <cellStyle name="Note 118 6 8" xfId="33741"/>
    <cellStyle name="Note 118 7" xfId="4523"/>
    <cellStyle name="Note 118 7 2" xfId="4524"/>
    <cellStyle name="Note 118 7 3" xfId="4525"/>
    <cellStyle name="Note 118 7 4" xfId="4526"/>
    <cellStyle name="Note 118 7 5" xfId="4527"/>
    <cellStyle name="Note 118 7 6" xfId="33742"/>
    <cellStyle name="Note 118 7 7" xfId="33743"/>
    <cellStyle name="Note 118 7 8" xfId="33744"/>
    <cellStyle name="Note 118 8" xfId="4528"/>
    <cellStyle name="Note 118 9" xfId="4529"/>
    <cellStyle name="Note 119" xfId="4530"/>
    <cellStyle name="Note 119 10" xfId="4531"/>
    <cellStyle name="Note 119 11" xfId="4532"/>
    <cellStyle name="Note 119 12" xfId="33745"/>
    <cellStyle name="Note 119 13" xfId="33746"/>
    <cellStyle name="Note 119 14" xfId="33747"/>
    <cellStyle name="Note 119 2" xfId="4533"/>
    <cellStyle name="Note 119 2 10" xfId="4534"/>
    <cellStyle name="Note 119 2 11" xfId="33748"/>
    <cellStyle name="Note 119 2 12" xfId="33749"/>
    <cellStyle name="Note 119 2 13" xfId="33750"/>
    <cellStyle name="Note 119 2 2" xfId="4535"/>
    <cellStyle name="Note 119 2 2 2" xfId="4536"/>
    <cellStyle name="Note 119 2 2 3" xfId="4537"/>
    <cellStyle name="Note 119 2 2 4" xfId="4538"/>
    <cellStyle name="Note 119 2 2 5" xfId="4539"/>
    <cellStyle name="Note 119 2 2 6" xfId="33751"/>
    <cellStyle name="Note 119 2 2 7" xfId="33752"/>
    <cellStyle name="Note 119 2 2 8" xfId="33753"/>
    <cellStyle name="Note 119 2 3" xfId="4540"/>
    <cellStyle name="Note 119 2 3 2" xfId="4541"/>
    <cellStyle name="Note 119 2 3 3" xfId="4542"/>
    <cellStyle name="Note 119 2 3 4" xfId="4543"/>
    <cellStyle name="Note 119 2 3 5" xfId="4544"/>
    <cellStyle name="Note 119 2 3 6" xfId="33754"/>
    <cellStyle name="Note 119 2 3 7" xfId="33755"/>
    <cellStyle name="Note 119 2 3 8" xfId="33756"/>
    <cellStyle name="Note 119 2 4" xfId="4545"/>
    <cellStyle name="Note 119 2 4 2" xfId="4546"/>
    <cellStyle name="Note 119 2 4 3" xfId="4547"/>
    <cellStyle name="Note 119 2 4 4" xfId="4548"/>
    <cellStyle name="Note 119 2 4 5" xfId="4549"/>
    <cellStyle name="Note 119 2 4 6" xfId="33757"/>
    <cellStyle name="Note 119 2 4 7" xfId="33758"/>
    <cellStyle name="Note 119 2 4 8" xfId="33759"/>
    <cellStyle name="Note 119 2 5" xfId="4550"/>
    <cellStyle name="Note 119 2 5 2" xfId="4551"/>
    <cellStyle name="Note 119 2 5 3" xfId="4552"/>
    <cellStyle name="Note 119 2 5 4" xfId="4553"/>
    <cellStyle name="Note 119 2 5 5" xfId="4554"/>
    <cellStyle name="Note 119 2 5 6" xfId="33760"/>
    <cellStyle name="Note 119 2 5 7" xfId="33761"/>
    <cellStyle name="Note 119 2 5 8" xfId="33762"/>
    <cellStyle name="Note 119 2 6" xfId="4555"/>
    <cellStyle name="Note 119 2 6 2" xfId="4556"/>
    <cellStyle name="Note 119 2 6 3" xfId="4557"/>
    <cellStyle name="Note 119 2 6 4" xfId="4558"/>
    <cellStyle name="Note 119 2 6 5" xfId="4559"/>
    <cellStyle name="Note 119 2 6 6" xfId="33763"/>
    <cellStyle name="Note 119 2 6 7" xfId="33764"/>
    <cellStyle name="Note 119 2 6 8" xfId="33765"/>
    <cellStyle name="Note 119 2 7" xfId="4560"/>
    <cellStyle name="Note 119 2 8" xfId="4561"/>
    <cellStyle name="Note 119 2 9" xfId="4562"/>
    <cellStyle name="Note 119 3" xfId="4563"/>
    <cellStyle name="Note 119 3 2" xfId="4564"/>
    <cellStyle name="Note 119 3 3" xfId="4565"/>
    <cellStyle name="Note 119 3 4" xfId="4566"/>
    <cellStyle name="Note 119 3 5" xfId="4567"/>
    <cellStyle name="Note 119 3 6" xfId="33766"/>
    <cellStyle name="Note 119 3 7" xfId="33767"/>
    <cellStyle name="Note 119 3 8" xfId="33768"/>
    <cellStyle name="Note 119 4" xfId="4568"/>
    <cellStyle name="Note 119 4 2" xfId="4569"/>
    <cellStyle name="Note 119 4 3" xfId="4570"/>
    <cellStyle name="Note 119 4 4" xfId="4571"/>
    <cellStyle name="Note 119 4 5" xfId="4572"/>
    <cellStyle name="Note 119 4 6" xfId="33769"/>
    <cellStyle name="Note 119 4 7" xfId="33770"/>
    <cellStyle name="Note 119 4 8" xfId="33771"/>
    <cellStyle name="Note 119 5" xfId="4573"/>
    <cellStyle name="Note 119 5 2" xfId="4574"/>
    <cellStyle name="Note 119 5 3" xfId="4575"/>
    <cellStyle name="Note 119 5 4" xfId="4576"/>
    <cellStyle name="Note 119 5 5" xfId="4577"/>
    <cellStyle name="Note 119 5 6" xfId="33772"/>
    <cellStyle name="Note 119 5 7" xfId="33773"/>
    <cellStyle name="Note 119 5 8" xfId="33774"/>
    <cellStyle name="Note 119 6" xfId="4578"/>
    <cellStyle name="Note 119 6 2" xfId="4579"/>
    <cellStyle name="Note 119 6 3" xfId="4580"/>
    <cellStyle name="Note 119 6 4" xfId="4581"/>
    <cellStyle name="Note 119 6 5" xfId="4582"/>
    <cellStyle name="Note 119 6 6" xfId="33775"/>
    <cellStyle name="Note 119 6 7" xfId="33776"/>
    <cellStyle name="Note 119 6 8" xfId="33777"/>
    <cellStyle name="Note 119 7" xfId="4583"/>
    <cellStyle name="Note 119 7 2" xfId="4584"/>
    <cellStyle name="Note 119 7 3" xfId="4585"/>
    <cellStyle name="Note 119 7 4" xfId="4586"/>
    <cellStyle name="Note 119 7 5" xfId="4587"/>
    <cellStyle name="Note 119 7 6" xfId="33778"/>
    <cellStyle name="Note 119 7 7" xfId="33779"/>
    <cellStyle name="Note 119 7 8" xfId="33780"/>
    <cellStyle name="Note 119 8" xfId="4588"/>
    <cellStyle name="Note 119 9" xfId="4589"/>
    <cellStyle name="Note 12" xfId="4590"/>
    <cellStyle name="Note 12 10" xfId="4591"/>
    <cellStyle name="Note 12 11" xfId="33781"/>
    <cellStyle name="Note 12 12" xfId="33782"/>
    <cellStyle name="Note 12 13" xfId="33783"/>
    <cellStyle name="Note 12 2" xfId="4592"/>
    <cellStyle name="Note 12 2 2" xfId="4593"/>
    <cellStyle name="Note 12 2 3" xfId="4594"/>
    <cellStyle name="Note 12 2 4" xfId="4595"/>
    <cellStyle name="Note 12 2 5" xfId="4596"/>
    <cellStyle name="Note 12 2 6" xfId="33784"/>
    <cellStyle name="Note 12 2 7" xfId="33785"/>
    <cellStyle name="Note 12 2 8" xfId="33786"/>
    <cellStyle name="Note 12 3" xfId="4597"/>
    <cellStyle name="Note 12 3 2" xfId="4598"/>
    <cellStyle name="Note 12 3 3" xfId="4599"/>
    <cellStyle name="Note 12 3 4" xfId="4600"/>
    <cellStyle name="Note 12 3 5" xfId="4601"/>
    <cellStyle name="Note 12 3 6" xfId="33787"/>
    <cellStyle name="Note 12 3 7" xfId="33788"/>
    <cellStyle name="Note 12 3 8" xfId="33789"/>
    <cellStyle name="Note 12 4" xfId="4602"/>
    <cellStyle name="Note 12 4 2" xfId="4603"/>
    <cellStyle name="Note 12 4 3" xfId="4604"/>
    <cellStyle name="Note 12 4 4" xfId="4605"/>
    <cellStyle name="Note 12 4 5" xfId="4606"/>
    <cellStyle name="Note 12 4 6" xfId="33790"/>
    <cellStyle name="Note 12 4 7" xfId="33791"/>
    <cellStyle name="Note 12 4 8" xfId="33792"/>
    <cellStyle name="Note 12 5" xfId="4607"/>
    <cellStyle name="Note 12 5 2" xfId="4608"/>
    <cellStyle name="Note 12 5 3" xfId="4609"/>
    <cellStyle name="Note 12 5 4" xfId="4610"/>
    <cellStyle name="Note 12 5 5" xfId="4611"/>
    <cellStyle name="Note 12 5 6" xfId="33793"/>
    <cellStyle name="Note 12 5 7" xfId="33794"/>
    <cellStyle name="Note 12 5 8" xfId="33795"/>
    <cellStyle name="Note 12 6" xfId="4612"/>
    <cellStyle name="Note 12 6 2" xfId="4613"/>
    <cellStyle name="Note 12 6 3" xfId="4614"/>
    <cellStyle name="Note 12 6 4" xfId="4615"/>
    <cellStyle name="Note 12 6 5" xfId="4616"/>
    <cellStyle name="Note 12 6 6" xfId="33796"/>
    <cellStyle name="Note 12 6 7" xfId="33797"/>
    <cellStyle name="Note 12 6 8" xfId="33798"/>
    <cellStyle name="Note 12 7" xfId="4617"/>
    <cellStyle name="Note 12 8" xfId="4618"/>
    <cellStyle name="Note 12 9" xfId="4619"/>
    <cellStyle name="Note 120" xfId="4620"/>
    <cellStyle name="Note 120 10" xfId="4621"/>
    <cellStyle name="Note 120 11" xfId="4622"/>
    <cellStyle name="Note 120 12" xfId="33799"/>
    <cellStyle name="Note 120 13" xfId="33800"/>
    <cellStyle name="Note 120 14" xfId="33801"/>
    <cellStyle name="Note 120 2" xfId="4623"/>
    <cellStyle name="Note 120 2 10" xfId="4624"/>
    <cellStyle name="Note 120 2 11" xfId="33802"/>
    <cellStyle name="Note 120 2 12" xfId="33803"/>
    <cellStyle name="Note 120 2 13" xfId="33804"/>
    <cellStyle name="Note 120 2 2" xfId="4625"/>
    <cellStyle name="Note 120 2 2 2" xfId="4626"/>
    <cellStyle name="Note 120 2 2 3" xfId="4627"/>
    <cellStyle name="Note 120 2 2 4" xfId="4628"/>
    <cellStyle name="Note 120 2 2 5" xfId="4629"/>
    <cellStyle name="Note 120 2 2 6" xfId="33805"/>
    <cellStyle name="Note 120 2 2 7" xfId="33806"/>
    <cellStyle name="Note 120 2 2 8" xfId="33807"/>
    <cellStyle name="Note 120 2 3" xfId="4630"/>
    <cellStyle name="Note 120 2 3 2" xfId="4631"/>
    <cellStyle name="Note 120 2 3 3" xfId="4632"/>
    <cellStyle name="Note 120 2 3 4" xfId="4633"/>
    <cellStyle name="Note 120 2 3 5" xfId="4634"/>
    <cellStyle name="Note 120 2 3 6" xfId="33808"/>
    <cellStyle name="Note 120 2 3 7" xfId="33809"/>
    <cellStyle name="Note 120 2 3 8" xfId="33810"/>
    <cellStyle name="Note 120 2 4" xfId="4635"/>
    <cellStyle name="Note 120 2 4 2" xfId="4636"/>
    <cellStyle name="Note 120 2 4 3" xfId="4637"/>
    <cellStyle name="Note 120 2 4 4" xfId="4638"/>
    <cellStyle name="Note 120 2 4 5" xfId="4639"/>
    <cellStyle name="Note 120 2 4 6" xfId="33811"/>
    <cellStyle name="Note 120 2 4 7" xfId="33812"/>
    <cellStyle name="Note 120 2 4 8" xfId="33813"/>
    <cellStyle name="Note 120 2 5" xfId="4640"/>
    <cellStyle name="Note 120 2 5 2" xfId="4641"/>
    <cellStyle name="Note 120 2 5 3" xfId="4642"/>
    <cellStyle name="Note 120 2 5 4" xfId="4643"/>
    <cellStyle name="Note 120 2 5 5" xfId="4644"/>
    <cellStyle name="Note 120 2 5 6" xfId="33814"/>
    <cellStyle name="Note 120 2 5 7" xfId="33815"/>
    <cellStyle name="Note 120 2 5 8" xfId="33816"/>
    <cellStyle name="Note 120 2 6" xfId="4645"/>
    <cellStyle name="Note 120 2 6 2" xfId="4646"/>
    <cellStyle name="Note 120 2 6 3" xfId="4647"/>
    <cellStyle name="Note 120 2 6 4" xfId="4648"/>
    <cellStyle name="Note 120 2 6 5" xfId="4649"/>
    <cellStyle name="Note 120 2 6 6" xfId="33817"/>
    <cellStyle name="Note 120 2 6 7" xfId="33818"/>
    <cellStyle name="Note 120 2 6 8" xfId="33819"/>
    <cellStyle name="Note 120 2 7" xfId="4650"/>
    <cellStyle name="Note 120 2 8" xfId="4651"/>
    <cellStyle name="Note 120 2 9" xfId="4652"/>
    <cellStyle name="Note 120 3" xfId="4653"/>
    <cellStyle name="Note 120 3 2" xfId="4654"/>
    <cellStyle name="Note 120 3 3" xfId="4655"/>
    <cellStyle name="Note 120 3 4" xfId="4656"/>
    <cellStyle name="Note 120 3 5" xfId="4657"/>
    <cellStyle name="Note 120 3 6" xfId="33820"/>
    <cellStyle name="Note 120 3 7" xfId="33821"/>
    <cellStyle name="Note 120 3 8" xfId="33822"/>
    <cellStyle name="Note 120 4" xfId="4658"/>
    <cellStyle name="Note 120 4 2" xfId="4659"/>
    <cellStyle name="Note 120 4 3" xfId="4660"/>
    <cellStyle name="Note 120 4 4" xfId="4661"/>
    <cellStyle name="Note 120 4 5" xfId="4662"/>
    <cellStyle name="Note 120 4 6" xfId="33823"/>
    <cellStyle name="Note 120 4 7" xfId="33824"/>
    <cellStyle name="Note 120 4 8" xfId="33825"/>
    <cellStyle name="Note 120 5" xfId="4663"/>
    <cellStyle name="Note 120 5 2" xfId="4664"/>
    <cellStyle name="Note 120 5 3" xfId="4665"/>
    <cellStyle name="Note 120 5 4" xfId="4666"/>
    <cellStyle name="Note 120 5 5" xfId="4667"/>
    <cellStyle name="Note 120 5 6" xfId="33826"/>
    <cellStyle name="Note 120 5 7" xfId="33827"/>
    <cellStyle name="Note 120 5 8" xfId="33828"/>
    <cellStyle name="Note 120 6" xfId="4668"/>
    <cellStyle name="Note 120 6 2" xfId="4669"/>
    <cellStyle name="Note 120 6 3" xfId="4670"/>
    <cellStyle name="Note 120 6 4" xfId="4671"/>
    <cellStyle name="Note 120 6 5" xfId="4672"/>
    <cellStyle name="Note 120 6 6" xfId="33829"/>
    <cellStyle name="Note 120 6 7" xfId="33830"/>
    <cellStyle name="Note 120 6 8" xfId="33831"/>
    <cellStyle name="Note 120 7" xfId="4673"/>
    <cellStyle name="Note 120 7 2" xfId="4674"/>
    <cellStyle name="Note 120 7 3" xfId="4675"/>
    <cellStyle name="Note 120 7 4" xfId="4676"/>
    <cellStyle name="Note 120 7 5" xfId="4677"/>
    <cellStyle name="Note 120 7 6" xfId="33832"/>
    <cellStyle name="Note 120 7 7" xfId="33833"/>
    <cellStyle name="Note 120 7 8" xfId="33834"/>
    <cellStyle name="Note 120 8" xfId="4678"/>
    <cellStyle name="Note 120 9" xfId="4679"/>
    <cellStyle name="Note 121" xfId="4680"/>
    <cellStyle name="Note 121 10" xfId="4681"/>
    <cellStyle name="Note 121 11" xfId="4682"/>
    <cellStyle name="Note 121 12" xfId="33835"/>
    <cellStyle name="Note 121 13" xfId="33836"/>
    <cellStyle name="Note 121 14" xfId="33837"/>
    <cellStyle name="Note 121 2" xfId="4683"/>
    <cellStyle name="Note 121 2 10" xfId="4684"/>
    <cellStyle name="Note 121 2 11" xfId="33838"/>
    <cellStyle name="Note 121 2 12" xfId="33839"/>
    <cellStyle name="Note 121 2 13" xfId="33840"/>
    <cellStyle name="Note 121 2 2" xfId="4685"/>
    <cellStyle name="Note 121 2 2 2" xfId="4686"/>
    <cellStyle name="Note 121 2 2 3" xfId="4687"/>
    <cellStyle name="Note 121 2 2 4" xfId="4688"/>
    <cellStyle name="Note 121 2 2 5" xfId="4689"/>
    <cellStyle name="Note 121 2 2 6" xfId="33841"/>
    <cellStyle name="Note 121 2 2 7" xfId="33842"/>
    <cellStyle name="Note 121 2 2 8" xfId="33843"/>
    <cellStyle name="Note 121 2 3" xfId="4690"/>
    <cellStyle name="Note 121 2 3 2" xfId="4691"/>
    <cellStyle name="Note 121 2 3 3" xfId="4692"/>
    <cellStyle name="Note 121 2 3 4" xfId="4693"/>
    <cellStyle name="Note 121 2 3 5" xfId="4694"/>
    <cellStyle name="Note 121 2 3 6" xfId="33844"/>
    <cellStyle name="Note 121 2 3 7" xfId="33845"/>
    <cellStyle name="Note 121 2 3 8" xfId="33846"/>
    <cellStyle name="Note 121 2 4" xfId="4695"/>
    <cellStyle name="Note 121 2 4 2" xfId="4696"/>
    <cellStyle name="Note 121 2 4 3" xfId="4697"/>
    <cellStyle name="Note 121 2 4 4" xfId="4698"/>
    <cellStyle name="Note 121 2 4 5" xfId="4699"/>
    <cellStyle name="Note 121 2 4 6" xfId="33847"/>
    <cellStyle name="Note 121 2 4 7" xfId="33848"/>
    <cellStyle name="Note 121 2 4 8" xfId="33849"/>
    <cellStyle name="Note 121 2 5" xfId="4700"/>
    <cellStyle name="Note 121 2 5 2" xfId="4701"/>
    <cellStyle name="Note 121 2 5 3" xfId="4702"/>
    <cellStyle name="Note 121 2 5 4" xfId="4703"/>
    <cellStyle name="Note 121 2 5 5" xfId="4704"/>
    <cellStyle name="Note 121 2 5 6" xfId="33850"/>
    <cellStyle name="Note 121 2 5 7" xfId="33851"/>
    <cellStyle name="Note 121 2 5 8" xfId="33852"/>
    <cellStyle name="Note 121 2 6" xfId="4705"/>
    <cellStyle name="Note 121 2 6 2" xfId="4706"/>
    <cellStyle name="Note 121 2 6 3" xfId="4707"/>
    <cellStyle name="Note 121 2 6 4" xfId="4708"/>
    <cellStyle name="Note 121 2 6 5" xfId="4709"/>
    <cellStyle name="Note 121 2 6 6" xfId="33853"/>
    <cellStyle name="Note 121 2 6 7" xfId="33854"/>
    <cellStyle name="Note 121 2 6 8" xfId="33855"/>
    <cellStyle name="Note 121 2 7" xfId="4710"/>
    <cellStyle name="Note 121 2 8" xfId="4711"/>
    <cellStyle name="Note 121 2 9" xfId="4712"/>
    <cellStyle name="Note 121 3" xfId="4713"/>
    <cellStyle name="Note 121 3 2" xfId="4714"/>
    <cellStyle name="Note 121 3 3" xfId="4715"/>
    <cellStyle name="Note 121 3 4" xfId="4716"/>
    <cellStyle name="Note 121 3 5" xfId="4717"/>
    <cellStyle name="Note 121 3 6" xfId="33856"/>
    <cellStyle name="Note 121 3 7" xfId="33857"/>
    <cellStyle name="Note 121 3 8" xfId="33858"/>
    <cellStyle name="Note 121 4" xfId="4718"/>
    <cellStyle name="Note 121 4 2" xfId="4719"/>
    <cellStyle name="Note 121 4 3" xfId="4720"/>
    <cellStyle name="Note 121 4 4" xfId="4721"/>
    <cellStyle name="Note 121 4 5" xfId="4722"/>
    <cellStyle name="Note 121 4 6" xfId="33859"/>
    <cellStyle name="Note 121 4 7" xfId="33860"/>
    <cellStyle name="Note 121 4 8" xfId="33861"/>
    <cellStyle name="Note 121 5" xfId="4723"/>
    <cellStyle name="Note 121 5 2" xfId="4724"/>
    <cellStyle name="Note 121 5 3" xfId="4725"/>
    <cellStyle name="Note 121 5 4" xfId="4726"/>
    <cellStyle name="Note 121 5 5" xfId="4727"/>
    <cellStyle name="Note 121 5 6" xfId="33862"/>
    <cellStyle name="Note 121 5 7" xfId="33863"/>
    <cellStyle name="Note 121 5 8" xfId="33864"/>
    <cellStyle name="Note 121 6" xfId="4728"/>
    <cellStyle name="Note 121 6 2" xfId="4729"/>
    <cellStyle name="Note 121 6 3" xfId="4730"/>
    <cellStyle name="Note 121 6 4" xfId="4731"/>
    <cellStyle name="Note 121 6 5" xfId="4732"/>
    <cellStyle name="Note 121 6 6" xfId="33865"/>
    <cellStyle name="Note 121 6 7" xfId="33866"/>
    <cellStyle name="Note 121 6 8" xfId="33867"/>
    <cellStyle name="Note 121 7" xfId="4733"/>
    <cellStyle name="Note 121 7 2" xfId="4734"/>
    <cellStyle name="Note 121 7 3" xfId="4735"/>
    <cellStyle name="Note 121 7 4" xfId="4736"/>
    <cellStyle name="Note 121 7 5" xfId="4737"/>
    <cellStyle name="Note 121 7 6" xfId="33868"/>
    <cellStyle name="Note 121 7 7" xfId="33869"/>
    <cellStyle name="Note 121 7 8" xfId="33870"/>
    <cellStyle name="Note 121 8" xfId="4738"/>
    <cellStyle name="Note 121 9" xfId="4739"/>
    <cellStyle name="Note 122" xfId="4740"/>
    <cellStyle name="Note 122 10" xfId="4741"/>
    <cellStyle name="Note 122 11" xfId="4742"/>
    <cellStyle name="Note 122 12" xfId="33871"/>
    <cellStyle name="Note 122 13" xfId="33872"/>
    <cellStyle name="Note 122 14" xfId="33873"/>
    <cellStyle name="Note 122 2" xfId="4743"/>
    <cellStyle name="Note 122 2 10" xfId="4744"/>
    <cellStyle name="Note 122 2 11" xfId="33874"/>
    <cellStyle name="Note 122 2 12" xfId="33875"/>
    <cellStyle name="Note 122 2 13" xfId="33876"/>
    <cellStyle name="Note 122 2 2" xfId="4745"/>
    <cellStyle name="Note 122 2 2 2" xfId="4746"/>
    <cellStyle name="Note 122 2 2 3" xfId="4747"/>
    <cellStyle name="Note 122 2 2 4" xfId="4748"/>
    <cellStyle name="Note 122 2 2 5" xfId="4749"/>
    <cellStyle name="Note 122 2 2 6" xfId="33877"/>
    <cellStyle name="Note 122 2 2 7" xfId="33878"/>
    <cellStyle name="Note 122 2 2 8" xfId="33879"/>
    <cellStyle name="Note 122 2 3" xfId="4750"/>
    <cellStyle name="Note 122 2 3 2" xfId="4751"/>
    <cellStyle name="Note 122 2 3 3" xfId="4752"/>
    <cellStyle name="Note 122 2 3 4" xfId="4753"/>
    <cellStyle name="Note 122 2 3 5" xfId="4754"/>
    <cellStyle name="Note 122 2 3 6" xfId="33880"/>
    <cellStyle name="Note 122 2 3 7" xfId="33881"/>
    <cellStyle name="Note 122 2 3 8" xfId="33882"/>
    <cellStyle name="Note 122 2 4" xfId="4755"/>
    <cellStyle name="Note 122 2 4 2" xfId="4756"/>
    <cellStyle name="Note 122 2 4 3" xfId="4757"/>
    <cellStyle name="Note 122 2 4 4" xfId="4758"/>
    <cellStyle name="Note 122 2 4 5" xfId="4759"/>
    <cellStyle name="Note 122 2 4 6" xfId="33883"/>
    <cellStyle name="Note 122 2 4 7" xfId="33884"/>
    <cellStyle name="Note 122 2 4 8" xfId="33885"/>
    <cellStyle name="Note 122 2 5" xfId="4760"/>
    <cellStyle name="Note 122 2 5 2" xfId="4761"/>
    <cellStyle name="Note 122 2 5 3" xfId="4762"/>
    <cellStyle name="Note 122 2 5 4" xfId="4763"/>
    <cellStyle name="Note 122 2 5 5" xfId="4764"/>
    <cellStyle name="Note 122 2 5 6" xfId="33886"/>
    <cellStyle name="Note 122 2 5 7" xfId="33887"/>
    <cellStyle name="Note 122 2 5 8" xfId="33888"/>
    <cellStyle name="Note 122 2 6" xfId="4765"/>
    <cellStyle name="Note 122 2 6 2" xfId="4766"/>
    <cellStyle name="Note 122 2 6 3" xfId="4767"/>
    <cellStyle name="Note 122 2 6 4" xfId="4768"/>
    <cellStyle name="Note 122 2 6 5" xfId="4769"/>
    <cellStyle name="Note 122 2 6 6" xfId="33889"/>
    <cellStyle name="Note 122 2 6 7" xfId="33890"/>
    <cellStyle name="Note 122 2 6 8" xfId="33891"/>
    <cellStyle name="Note 122 2 7" xfId="4770"/>
    <cellStyle name="Note 122 2 8" xfId="4771"/>
    <cellStyle name="Note 122 2 9" xfId="4772"/>
    <cellStyle name="Note 122 3" xfId="4773"/>
    <cellStyle name="Note 122 3 2" xfId="4774"/>
    <cellStyle name="Note 122 3 3" xfId="4775"/>
    <cellStyle name="Note 122 3 4" xfId="4776"/>
    <cellStyle name="Note 122 3 5" xfId="4777"/>
    <cellStyle name="Note 122 3 6" xfId="33892"/>
    <cellStyle name="Note 122 3 7" xfId="33893"/>
    <cellStyle name="Note 122 3 8" xfId="33894"/>
    <cellStyle name="Note 122 4" xfId="4778"/>
    <cellStyle name="Note 122 4 2" xfId="4779"/>
    <cellStyle name="Note 122 4 3" xfId="4780"/>
    <cellStyle name="Note 122 4 4" xfId="4781"/>
    <cellStyle name="Note 122 4 5" xfId="4782"/>
    <cellStyle name="Note 122 4 6" xfId="33895"/>
    <cellStyle name="Note 122 4 7" xfId="33896"/>
    <cellStyle name="Note 122 4 8" xfId="33897"/>
    <cellStyle name="Note 122 5" xfId="4783"/>
    <cellStyle name="Note 122 5 2" xfId="4784"/>
    <cellStyle name="Note 122 5 3" xfId="4785"/>
    <cellStyle name="Note 122 5 4" xfId="4786"/>
    <cellStyle name="Note 122 5 5" xfId="4787"/>
    <cellStyle name="Note 122 5 6" xfId="33898"/>
    <cellStyle name="Note 122 5 7" xfId="33899"/>
    <cellStyle name="Note 122 5 8" xfId="33900"/>
    <cellStyle name="Note 122 6" xfId="4788"/>
    <cellStyle name="Note 122 6 2" xfId="4789"/>
    <cellStyle name="Note 122 6 3" xfId="4790"/>
    <cellStyle name="Note 122 6 4" xfId="4791"/>
    <cellStyle name="Note 122 6 5" xfId="4792"/>
    <cellStyle name="Note 122 6 6" xfId="33901"/>
    <cellStyle name="Note 122 6 7" xfId="33902"/>
    <cellStyle name="Note 122 6 8" xfId="33903"/>
    <cellStyle name="Note 122 7" xfId="4793"/>
    <cellStyle name="Note 122 7 2" xfId="4794"/>
    <cellStyle name="Note 122 7 3" xfId="4795"/>
    <cellStyle name="Note 122 7 4" xfId="4796"/>
    <cellStyle name="Note 122 7 5" xfId="4797"/>
    <cellStyle name="Note 122 7 6" xfId="33904"/>
    <cellStyle name="Note 122 7 7" xfId="33905"/>
    <cellStyle name="Note 122 7 8" xfId="33906"/>
    <cellStyle name="Note 122 8" xfId="4798"/>
    <cellStyle name="Note 122 9" xfId="4799"/>
    <cellStyle name="Note 123" xfId="4800"/>
    <cellStyle name="Note 123 10" xfId="4801"/>
    <cellStyle name="Note 123 11" xfId="4802"/>
    <cellStyle name="Note 123 12" xfId="33907"/>
    <cellStyle name="Note 123 13" xfId="33908"/>
    <cellStyle name="Note 123 14" xfId="33909"/>
    <cellStyle name="Note 123 2" xfId="4803"/>
    <cellStyle name="Note 123 2 10" xfId="4804"/>
    <cellStyle name="Note 123 2 11" xfId="33910"/>
    <cellStyle name="Note 123 2 12" xfId="33911"/>
    <cellStyle name="Note 123 2 13" xfId="33912"/>
    <cellStyle name="Note 123 2 2" xfId="4805"/>
    <cellStyle name="Note 123 2 2 2" xfId="4806"/>
    <cellStyle name="Note 123 2 2 3" xfId="4807"/>
    <cellStyle name="Note 123 2 2 4" xfId="4808"/>
    <cellStyle name="Note 123 2 2 5" xfId="4809"/>
    <cellStyle name="Note 123 2 2 6" xfId="33913"/>
    <cellStyle name="Note 123 2 2 7" xfId="33914"/>
    <cellStyle name="Note 123 2 2 8" xfId="33915"/>
    <cellStyle name="Note 123 2 3" xfId="4810"/>
    <cellStyle name="Note 123 2 3 2" xfId="4811"/>
    <cellStyle name="Note 123 2 3 3" xfId="4812"/>
    <cellStyle name="Note 123 2 3 4" xfId="4813"/>
    <cellStyle name="Note 123 2 3 5" xfId="4814"/>
    <cellStyle name="Note 123 2 3 6" xfId="33916"/>
    <cellStyle name="Note 123 2 3 7" xfId="33917"/>
    <cellStyle name="Note 123 2 3 8" xfId="33918"/>
    <cellStyle name="Note 123 2 4" xfId="4815"/>
    <cellStyle name="Note 123 2 4 2" xfId="4816"/>
    <cellStyle name="Note 123 2 4 3" xfId="4817"/>
    <cellStyle name="Note 123 2 4 4" xfId="4818"/>
    <cellStyle name="Note 123 2 4 5" xfId="4819"/>
    <cellStyle name="Note 123 2 4 6" xfId="33919"/>
    <cellStyle name="Note 123 2 4 7" xfId="33920"/>
    <cellStyle name="Note 123 2 4 8" xfId="33921"/>
    <cellStyle name="Note 123 2 5" xfId="4820"/>
    <cellStyle name="Note 123 2 5 2" xfId="4821"/>
    <cellStyle name="Note 123 2 5 3" xfId="4822"/>
    <cellStyle name="Note 123 2 5 4" xfId="4823"/>
    <cellStyle name="Note 123 2 5 5" xfId="4824"/>
    <cellStyle name="Note 123 2 5 6" xfId="33922"/>
    <cellStyle name="Note 123 2 5 7" xfId="33923"/>
    <cellStyle name="Note 123 2 5 8" xfId="33924"/>
    <cellStyle name="Note 123 2 6" xfId="4825"/>
    <cellStyle name="Note 123 2 6 2" xfId="4826"/>
    <cellStyle name="Note 123 2 6 3" xfId="4827"/>
    <cellStyle name="Note 123 2 6 4" xfId="4828"/>
    <cellStyle name="Note 123 2 6 5" xfId="4829"/>
    <cellStyle name="Note 123 2 6 6" xfId="33925"/>
    <cellStyle name="Note 123 2 6 7" xfId="33926"/>
    <cellStyle name="Note 123 2 6 8" xfId="33927"/>
    <cellStyle name="Note 123 2 7" xfId="4830"/>
    <cellStyle name="Note 123 2 8" xfId="4831"/>
    <cellStyle name="Note 123 2 9" xfId="4832"/>
    <cellStyle name="Note 123 3" xfId="4833"/>
    <cellStyle name="Note 123 3 2" xfId="4834"/>
    <cellStyle name="Note 123 3 3" xfId="4835"/>
    <cellStyle name="Note 123 3 4" xfId="4836"/>
    <cellStyle name="Note 123 3 5" xfId="4837"/>
    <cellStyle name="Note 123 3 6" xfId="33928"/>
    <cellStyle name="Note 123 3 7" xfId="33929"/>
    <cellStyle name="Note 123 3 8" xfId="33930"/>
    <cellStyle name="Note 123 4" xfId="4838"/>
    <cellStyle name="Note 123 4 2" xfId="4839"/>
    <cellStyle name="Note 123 4 3" xfId="4840"/>
    <cellStyle name="Note 123 4 4" xfId="4841"/>
    <cellStyle name="Note 123 4 5" xfId="4842"/>
    <cellStyle name="Note 123 4 6" xfId="33931"/>
    <cellStyle name="Note 123 4 7" xfId="33932"/>
    <cellStyle name="Note 123 4 8" xfId="33933"/>
    <cellStyle name="Note 123 5" xfId="4843"/>
    <cellStyle name="Note 123 5 2" xfId="4844"/>
    <cellStyle name="Note 123 5 3" xfId="4845"/>
    <cellStyle name="Note 123 5 4" xfId="4846"/>
    <cellStyle name="Note 123 5 5" xfId="4847"/>
    <cellStyle name="Note 123 5 6" xfId="33934"/>
    <cellStyle name="Note 123 5 7" xfId="33935"/>
    <cellStyle name="Note 123 5 8" xfId="33936"/>
    <cellStyle name="Note 123 6" xfId="4848"/>
    <cellStyle name="Note 123 6 2" xfId="4849"/>
    <cellStyle name="Note 123 6 3" xfId="4850"/>
    <cellStyle name="Note 123 6 4" xfId="4851"/>
    <cellStyle name="Note 123 6 5" xfId="4852"/>
    <cellStyle name="Note 123 6 6" xfId="33937"/>
    <cellStyle name="Note 123 6 7" xfId="33938"/>
    <cellStyle name="Note 123 6 8" xfId="33939"/>
    <cellStyle name="Note 123 7" xfId="4853"/>
    <cellStyle name="Note 123 7 2" xfId="4854"/>
    <cellStyle name="Note 123 7 3" xfId="4855"/>
    <cellStyle name="Note 123 7 4" xfId="4856"/>
    <cellStyle name="Note 123 7 5" xfId="4857"/>
    <cellStyle name="Note 123 7 6" xfId="33940"/>
    <cellStyle name="Note 123 7 7" xfId="33941"/>
    <cellStyle name="Note 123 7 8" xfId="33942"/>
    <cellStyle name="Note 123 8" xfId="4858"/>
    <cellStyle name="Note 123 9" xfId="4859"/>
    <cellStyle name="Note 124" xfId="4860"/>
    <cellStyle name="Note 124 10" xfId="4861"/>
    <cellStyle name="Note 124 11" xfId="4862"/>
    <cellStyle name="Note 124 12" xfId="33943"/>
    <cellStyle name="Note 124 13" xfId="33944"/>
    <cellStyle name="Note 124 14" xfId="33945"/>
    <cellStyle name="Note 124 2" xfId="4863"/>
    <cellStyle name="Note 124 2 10" xfId="4864"/>
    <cellStyle name="Note 124 2 11" xfId="33946"/>
    <cellStyle name="Note 124 2 12" xfId="33947"/>
    <cellStyle name="Note 124 2 13" xfId="33948"/>
    <cellStyle name="Note 124 2 2" xfId="4865"/>
    <cellStyle name="Note 124 2 2 2" xfId="4866"/>
    <cellStyle name="Note 124 2 2 3" xfId="4867"/>
    <cellStyle name="Note 124 2 2 4" xfId="4868"/>
    <cellStyle name="Note 124 2 2 5" xfId="4869"/>
    <cellStyle name="Note 124 2 2 6" xfId="33949"/>
    <cellStyle name="Note 124 2 2 7" xfId="33950"/>
    <cellStyle name="Note 124 2 2 8" xfId="33951"/>
    <cellStyle name="Note 124 2 3" xfId="4870"/>
    <cellStyle name="Note 124 2 3 2" xfId="4871"/>
    <cellStyle name="Note 124 2 3 3" xfId="4872"/>
    <cellStyle name="Note 124 2 3 4" xfId="4873"/>
    <cellStyle name="Note 124 2 3 5" xfId="4874"/>
    <cellStyle name="Note 124 2 3 6" xfId="33952"/>
    <cellStyle name="Note 124 2 3 7" xfId="33953"/>
    <cellStyle name="Note 124 2 3 8" xfId="33954"/>
    <cellStyle name="Note 124 2 4" xfId="4875"/>
    <cellStyle name="Note 124 2 4 2" xfId="4876"/>
    <cellStyle name="Note 124 2 4 3" xfId="4877"/>
    <cellStyle name="Note 124 2 4 4" xfId="4878"/>
    <cellStyle name="Note 124 2 4 5" xfId="4879"/>
    <cellStyle name="Note 124 2 4 6" xfId="33955"/>
    <cellStyle name="Note 124 2 4 7" xfId="33956"/>
    <cellStyle name="Note 124 2 4 8" xfId="33957"/>
    <cellStyle name="Note 124 2 5" xfId="4880"/>
    <cellStyle name="Note 124 2 5 2" xfId="4881"/>
    <cellStyle name="Note 124 2 5 3" xfId="4882"/>
    <cellStyle name="Note 124 2 5 4" xfId="4883"/>
    <cellStyle name="Note 124 2 5 5" xfId="4884"/>
    <cellStyle name="Note 124 2 5 6" xfId="33958"/>
    <cellStyle name="Note 124 2 5 7" xfId="33959"/>
    <cellStyle name="Note 124 2 5 8" xfId="33960"/>
    <cellStyle name="Note 124 2 6" xfId="4885"/>
    <cellStyle name="Note 124 2 6 2" xfId="4886"/>
    <cellStyle name="Note 124 2 6 3" xfId="4887"/>
    <cellStyle name="Note 124 2 6 4" xfId="4888"/>
    <cellStyle name="Note 124 2 6 5" xfId="4889"/>
    <cellStyle name="Note 124 2 6 6" xfId="33961"/>
    <cellStyle name="Note 124 2 6 7" xfId="33962"/>
    <cellStyle name="Note 124 2 6 8" xfId="33963"/>
    <cellStyle name="Note 124 2 7" xfId="4890"/>
    <cellStyle name="Note 124 2 8" xfId="4891"/>
    <cellStyle name="Note 124 2 9" xfId="4892"/>
    <cellStyle name="Note 124 3" xfId="4893"/>
    <cellStyle name="Note 124 3 2" xfId="4894"/>
    <cellStyle name="Note 124 3 3" xfId="4895"/>
    <cellStyle name="Note 124 3 4" xfId="4896"/>
    <cellStyle name="Note 124 3 5" xfId="4897"/>
    <cellStyle name="Note 124 3 6" xfId="33964"/>
    <cellStyle name="Note 124 3 7" xfId="33965"/>
    <cellStyle name="Note 124 3 8" xfId="33966"/>
    <cellStyle name="Note 124 4" xfId="4898"/>
    <cellStyle name="Note 124 4 2" xfId="4899"/>
    <cellStyle name="Note 124 4 3" xfId="4900"/>
    <cellStyle name="Note 124 4 4" xfId="4901"/>
    <cellStyle name="Note 124 4 5" xfId="4902"/>
    <cellStyle name="Note 124 4 6" xfId="33967"/>
    <cellStyle name="Note 124 4 7" xfId="33968"/>
    <cellStyle name="Note 124 4 8" xfId="33969"/>
    <cellStyle name="Note 124 5" xfId="4903"/>
    <cellStyle name="Note 124 5 2" xfId="4904"/>
    <cellStyle name="Note 124 5 3" xfId="4905"/>
    <cellStyle name="Note 124 5 4" xfId="4906"/>
    <cellStyle name="Note 124 5 5" xfId="4907"/>
    <cellStyle name="Note 124 5 6" xfId="33970"/>
    <cellStyle name="Note 124 5 7" xfId="33971"/>
    <cellStyle name="Note 124 5 8" xfId="33972"/>
    <cellStyle name="Note 124 6" xfId="4908"/>
    <cellStyle name="Note 124 6 2" xfId="4909"/>
    <cellStyle name="Note 124 6 3" xfId="4910"/>
    <cellStyle name="Note 124 6 4" xfId="4911"/>
    <cellStyle name="Note 124 6 5" xfId="4912"/>
    <cellStyle name="Note 124 6 6" xfId="33973"/>
    <cellStyle name="Note 124 6 7" xfId="33974"/>
    <cellStyle name="Note 124 6 8" xfId="33975"/>
    <cellStyle name="Note 124 7" xfId="4913"/>
    <cellStyle name="Note 124 7 2" xfId="4914"/>
    <cellStyle name="Note 124 7 3" xfId="4915"/>
    <cellStyle name="Note 124 7 4" xfId="4916"/>
    <cellStyle name="Note 124 7 5" xfId="4917"/>
    <cellStyle name="Note 124 7 6" xfId="33976"/>
    <cellStyle name="Note 124 7 7" xfId="33977"/>
    <cellStyle name="Note 124 7 8" xfId="33978"/>
    <cellStyle name="Note 124 8" xfId="4918"/>
    <cellStyle name="Note 124 9" xfId="4919"/>
    <cellStyle name="Note 125" xfId="4920"/>
    <cellStyle name="Note 125 10" xfId="4921"/>
    <cellStyle name="Note 125 11" xfId="4922"/>
    <cellStyle name="Note 125 12" xfId="33979"/>
    <cellStyle name="Note 125 13" xfId="33980"/>
    <cellStyle name="Note 125 14" xfId="33981"/>
    <cellStyle name="Note 125 2" xfId="4923"/>
    <cellStyle name="Note 125 2 10" xfId="4924"/>
    <cellStyle name="Note 125 2 11" xfId="33982"/>
    <cellStyle name="Note 125 2 12" xfId="33983"/>
    <cellStyle name="Note 125 2 13" xfId="33984"/>
    <cellStyle name="Note 125 2 2" xfId="4925"/>
    <cellStyle name="Note 125 2 2 2" xfId="4926"/>
    <cellStyle name="Note 125 2 2 3" xfId="4927"/>
    <cellStyle name="Note 125 2 2 4" xfId="4928"/>
    <cellStyle name="Note 125 2 2 5" xfId="4929"/>
    <cellStyle name="Note 125 2 2 6" xfId="33985"/>
    <cellStyle name="Note 125 2 2 7" xfId="33986"/>
    <cellStyle name="Note 125 2 2 8" xfId="33987"/>
    <cellStyle name="Note 125 2 3" xfId="4930"/>
    <cellStyle name="Note 125 2 3 2" xfId="4931"/>
    <cellStyle name="Note 125 2 3 3" xfId="4932"/>
    <cellStyle name="Note 125 2 3 4" xfId="4933"/>
    <cellStyle name="Note 125 2 3 5" xfId="4934"/>
    <cellStyle name="Note 125 2 3 6" xfId="33988"/>
    <cellStyle name="Note 125 2 3 7" xfId="33989"/>
    <cellStyle name="Note 125 2 3 8" xfId="33990"/>
    <cellStyle name="Note 125 2 4" xfId="4935"/>
    <cellStyle name="Note 125 2 4 2" xfId="4936"/>
    <cellStyle name="Note 125 2 4 3" xfId="4937"/>
    <cellStyle name="Note 125 2 4 4" xfId="4938"/>
    <cellStyle name="Note 125 2 4 5" xfId="4939"/>
    <cellStyle name="Note 125 2 4 6" xfId="33991"/>
    <cellStyle name="Note 125 2 4 7" xfId="33992"/>
    <cellStyle name="Note 125 2 4 8" xfId="33993"/>
    <cellStyle name="Note 125 2 5" xfId="4940"/>
    <cellStyle name="Note 125 2 5 2" xfId="4941"/>
    <cellStyle name="Note 125 2 5 3" xfId="4942"/>
    <cellStyle name="Note 125 2 5 4" xfId="4943"/>
    <cellStyle name="Note 125 2 5 5" xfId="4944"/>
    <cellStyle name="Note 125 2 5 6" xfId="33994"/>
    <cellStyle name="Note 125 2 5 7" xfId="33995"/>
    <cellStyle name="Note 125 2 5 8" xfId="33996"/>
    <cellStyle name="Note 125 2 6" xfId="4945"/>
    <cellStyle name="Note 125 2 6 2" xfId="4946"/>
    <cellStyle name="Note 125 2 6 3" xfId="4947"/>
    <cellStyle name="Note 125 2 6 4" xfId="4948"/>
    <cellStyle name="Note 125 2 6 5" xfId="4949"/>
    <cellStyle name="Note 125 2 6 6" xfId="33997"/>
    <cellStyle name="Note 125 2 6 7" xfId="33998"/>
    <cellStyle name="Note 125 2 6 8" xfId="33999"/>
    <cellStyle name="Note 125 2 7" xfId="4950"/>
    <cellStyle name="Note 125 2 8" xfId="4951"/>
    <cellStyle name="Note 125 2 9" xfId="4952"/>
    <cellStyle name="Note 125 3" xfId="4953"/>
    <cellStyle name="Note 125 3 2" xfId="4954"/>
    <cellStyle name="Note 125 3 3" xfId="4955"/>
    <cellStyle name="Note 125 3 4" xfId="4956"/>
    <cellStyle name="Note 125 3 5" xfId="4957"/>
    <cellStyle name="Note 125 3 6" xfId="34000"/>
    <cellStyle name="Note 125 3 7" xfId="34001"/>
    <cellStyle name="Note 125 3 8" xfId="34002"/>
    <cellStyle name="Note 125 4" xfId="4958"/>
    <cellStyle name="Note 125 4 2" xfId="4959"/>
    <cellStyle name="Note 125 4 3" xfId="4960"/>
    <cellStyle name="Note 125 4 4" xfId="4961"/>
    <cellStyle name="Note 125 4 5" xfId="4962"/>
    <cellStyle name="Note 125 4 6" xfId="34003"/>
    <cellStyle name="Note 125 4 7" xfId="34004"/>
    <cellStyle name="Note 125 4 8" xfId="34005"/>
    <cellStyle name="Note 125 5" xfId="4963"/>
    <cellStyle name="Note 125 5 2" xfId="4964"/>
    <cellStyle name="Note 125 5 3" xfId="4965"/>
    <cellStyle name="Note 125 5 4" xfId="4966"/>
    <cellStyle name="Note 125 5 5" xfId="4967"/>
    <cellStyle name="Note 125 5 6" xfId="34006"/>
    <cellStyle name="Note 125 5 7" xfId="34007"/>
    <cellStyle name="Note 125 5 8" xfId="34008"/>
    <cellStyle name="Note 125 6" xfId="4968"/>
    <cellStyle name="Note 125 6 2" xfId="4969"/>
    <cellStyle name="Note 125 6 3" xfId="4970"/>
    <cellStyle name="Note 125 6 4" xfId="4971"/>
    <cellStyle name="Note 125 6 5" xfId="4972"/>
    <cellStyle name="Note 125 6 6" xfId="34009"/>
    <cellStyle name="Note 125 6 7" xfId="34010"/>
    <cellStyle name="Note 125 6 8" xfId="34011"/>
    <cellStyle name="Note 125 7" xfId="4973"/>
    <cellStyle name="Note 125 7 2" xfId="4974"/>
    <cellStyle name="Note 125 7 3" xfId="4975"/>
    <cellStyle name="Note 125 7 4" xfId="4976"/>
    <cellStyle name="Note 125 7 5" xfId="4977"/>
    <cellStyle name="Note 125 7 6" xfId="34012"/>
    <cellStyle name="Note 125 7 7" xfId="34013"/>
    <cellStyle name="Note 125 7 8" xfId="34014"/>
    <cellStyle name="Note 125 8" xfId="4978"/>
    <cellStyle name="Note 125 9" xfId="4979"/>
    <cellStyle name="Note 126" xfId="4980"/>
    <cellStyle name="Note 126 10" xfId="4981"/>
    <cellStyle name="Note 126 11" xfId="4982"/>
    <cellStyle name="Note 126 12" xfId="34015"/>
    <cellStyle name="Note 126 13" xfId="34016"/>
    <cellStyle name="Note 126 14" xfId="34017"/>
    <cellStyle name="Note 126 2" xfId="4983"/>
    <cellStyle name="Note 126 2 10" xfId="4984"/>
    <cellStyle name="Note 126 2 11" xfId="34018"/>
    <cellStyle name="Note 126 2 12" xfId="34019"/>
    <cellStyle name="Note 126 2 13" xfId="34020"/>
    <cellStyle name="Note 126 2 2" xfId="4985"/>
    <cellStyle name="Note 126 2 2 2" xfId="4986"/>
    <cellStyle name="Note 126 2 2 3" xfId="4987"/>
    <cellStyle name="Note 126 2 2 4" xfId="4988"/>
    <cellStyle name="Note 126 2 2 5" xfId="4989"/>
    <cellStyle name="Note 126 2 2 6" xfId="34021"/>
    <cellStyle name="Note 126 2 2 7" xfId="34022"/>
    <cellStyle name="Note 126 2 2 8" xfId="34023"/>
    <cellStyle name="Note 126 2 3" xfId="4990"/>
    <cellStyle name="Note 126 2 3 2" xfId="4991"/>
    <cellStyle name="Note 126 2 3 3" xfId="4992"/>
    <cellStyle name="Note 126 2 3 4" xfId="4993"/>
    <cellStyle name="Note 126 2 3 5" xfId="4994"/>
    <cellStyle name="Note 126 2 3 6" xfId="34024"/>
    <cellStyle name="Note 126 2 3 7" xfId="34025"/>
    <cellStyle name="Note 126 2 3 8" xfId="34026"/>
    <cellStyle name="Note 126 2 4" xfId="4995"/>
    <cellStyle name="Note 126 2 4 2" xfId="4996"/>
    <cellStyle name="Note 126 2 4 3" xfId="4997"/>
    <cellStyle name="Note 126 2 4 4" xfId="4998"/>
    <cellStyle name="Note 126 2 4 5" xfId="4999"/>
    <cellStyle name="Note 126 2 4 6" xfId="34027"/>
    <cellStyle name="Note 126 2 4 7" xfId="34028"/>
    <cellStyle name="Note 126 2 4 8" xfId="34029"/>
    <cellStyle name="Note 126 2 5" xfId="5000"/>
    <cellStyle name="Note 126 2 5 2" xfId="5001"/>
    <cellStyle name="Note 126 2 5 3" xfId="5002"/>
    <cellStyle name="Note 126 2 5 4" xfId="5003"/>
    <cellStyle name="Note 126 2 5 5" xfId="5004"/>
    <cellStyle name="Note 126 2 5 6" xfId="34030"/>
    <cellStyle name="Note 126 2 5 7" xfId="34031"/>
    <cellStyle name="Note 126 2 5 8" xfId="34032"/>
    <cellStyle name="Note 126 2 6" xfId="5005"/>
    <cellStyle name="Note 126 2 6 2" xfId="5006"/>
    <cellStyle name="Note 126 2 6 3" xfId="5007"/>
    <cellStyle name="Note 126 2 6 4" xfId="5008"/>
    <cellStyle name="Note 126 2 6 5" xfId="5009"/>
    <cellStyle name="Note 126 2 6 6" xfId="34033"/>
    <cellStyle name="Note 126 2 6 7" xfId="34034"/>
    <cellStyle name="Note 126 2 6 8" xfId="34035"/>
    <cellStyle name="Note 126 2 7" xfId="5010"/>
    <cellStyle name="Note 126 2 8" xfId="5011"/>
    <cellStyle name="Note 126 2 9" xfId="5012"/>
    <cellStyle name="Note 126 3" xfId="5013"/>
    <cellStyle name="Note 126 3 2" xfId="5014"/>
    <cellStyle name="Note 126 3 3" xfId="5015"/>
    <cellStyle name="Note 126 3 4" xfId="5016"/>
    <cellStyle name="Note 126 3 5" xfId="5017"/>
    <cellStyle name="Note 126 3 6" xfId="34036"/>
    <cellStyle name="Note 126 3 7" xfId="34037"/>
    <cellStyle name="Note 126 3 8" xfId="34038"/>
    <cellStyle name="Note 126 4" xfId="5018"/>
    <cellStyle name="Note 126 4 2" xfId="5019"/>
    <cellStyle name="Note 126 4 3" xfId="5020"/>
    <cellStyle name="Note 126 4 4" xfId="5021"/>
    <cellStyle name="Note 126 4 5" xfId="5022"/>
    <cellStyle name="Note 126 4 6" xfId="34039"/>
    <cellStyle name="Note 126 4 7" xfId="34040"/>
    <cellStyle name="Note 126 4 8" xfId="34041"/>
    <cellStyle name="Note 126 5" xfId="5023"/>
    <cellStyle name="Note 126 5 2" xfId="5024"/>
    <cellStyle name="Note 126 5 3" xfId="5025"/>
    <cellStyle name="Note 126 5 4" xfId="5026"/>
    <cellStyle name="Note 126 5 5" xfId="5027"/>
    <cellStyle name="Note 126 5 6" xfId="34042"/>
    <cellStyle name="Note 126 5 7" xfId="34043"/>
    <cellStyle name="Note 126 5 8" xfId="34044"/>
    <cellStyle name="Note 126 6" xfId="5028"/>
    <cellStyle name="Note 126 6 2" xfId="5029"/>
    <cellStyle name="Note 126 6 3" xfId="5030"/>
    <cellStyle name="Note 126 6 4" xfId="5031"/>
    <cellStyle name="Note 126 6 5" xfId="5032"/>
    <cellStyle name="Note 126 6 6" xfId="34045"/>
    <cellStyle name="Note 126 6 7" xfId="34046"/>
    <cellStyle name="Note 126 6 8" xfId="34047"/>
    <cellStyle name="Note 126 7" xfId="5033"/>
    <cellStyle name="Note 126 7 2" xfId="5034"/>
    <cellStyle name="Note 126 7 3" xfId="5035"/>
    <cellStyle name="Note 126 7 4" xfId="5036"/>
    <cellStyle name="Note 126 7 5" xfId="5037"/>
    <cellStyle name="Note 126 7 6" xfId="34048"/>
    <cellStyle name="Note 126 7 7" xfId="34049"/>
    <cellStyle name="Note 126 7 8" xfId="34050"/>
    <cellStyle name="Note 126 8" xfId="5038"/>
    <cellStyle name="Note 126 9" xfId="5039"/>
    <cellStyle name="Note 127" xfId="5040"/>
    <cellStyle name="Note 127 10" xfId="5041"/>
    <cellStyle name="Note 127 11" xfId="5042"/>
    <cellStyle name="Note 127 12" xfId="34051"/>
    <cellStyle name="Note 127 13" xfId="34052"/>
    <cellStyle name="Note 127 14" xfId="34053"/>
    <cellStyle name="Note 127 2" xfId="5043"/>
    <cellStyle name="Note 127 2 10" xfId="5044"/>
    <cellStyle name="Note 127 2 11" xfId="34054"/>
    <cellStyle name="Note 127 2 12" xfId="34055"/>
    <cellStyle name="Note 127 2 13" xfId="34056"/>
    <cellStyle name="Note 127 2 2" xfId="5045"/>
    <cellStyle name="Note 127 2 2 2" xfId="5046"/>
    <cellStyle name="Note 127 2 2 3" xfId="5047"/>
    <cellStyle name="Note 127 2 2 4" xfId="5048"/>
    <cellStyle name="Note 127 2 2 5" xfId="5049"/>
    <cellStyle name="Note 127 2 2 6" xfId="34057"/>
    <cellStyle name="Note 127 2 2 7" xfId="34058"/>
    <cellStyle name="Note 127 2 2 8" xfId="34059"/>
    <cellStyle name="Note 127 2 3" xfId="5050"/>
    <cellStyle name="Note 127 2 3 2" xfId="5051"/>
    <cellStyle name="Note 127 2 3 3" xfId="5052"/>
    <cellStyle name="Note 127 2 3 4" xfId="5053"/>
    <cellStyle name="Note 127 2 3 5" xfId="5054"/>
    <cellStyle name="Note 127 2 3 6" xfId="34060"/>
    <cellStyle name="Note 127 2 3 7" xfId="34061"/>
    <cellStyle name="Note 127 2 3 8" xfId="34062"/>
    <cellStyle name="Note 127 2 4" xfId="5055"/>
    <cellStyle name="Note 127 2 4 2" xfId="5056"/>
    <cellStyle name="Note 127 2 4 3" xfId="5057"/>
    <cellStyle name="Note 127 2 4 4" xfId="5058"/>
    <cellStyle name="Note 127 2 4 5" xfId="5059"/>
    <cellStyle name="Note 127 2 4 6" xfId="34063"/>
    <cellStyle name="Note 127 2 4 7" xfId="34064"/>
    <cellStyle name="Note 127 2 4 8" xfId="34065"/>
    <cellStyle name="Note 127 2 5" xfId="5060"/>
    <cellStyle name="Note 127 2 5 2" xfId="5061"/>
    <cellStyle name="Note 127 2 5 3" xfId="5062"/>
    <cellStyle name="Note 127 2 5 4" xfId="5063"/>
    <cellStyle name="Note 127 2 5 5" xfId="5064"/>
    <cellStyle name="Note 127 2 5 6" xfId="34066"/>
    <cellStyle name="Note 127 2 5 7" xfId="34067"/>
    <cellStyle name="Note 127 2 5 8" xfId="34068"/>
    <cellStyle name="Note 127 2 6" xfId="5065"/>
    <cellStyle name="Note 127 2 6 2" xfId="5066"/>
    <cellStyle name="Note 127 2 6 3" xfId="5067"/>
    <cellStyle name="Note 127 2 6 4" xfId="5068"/>
    <cellStyle name="Note 127 2 6 5" xfId="5069"/>
    <cellStyle name="Note 127 2 6 6" xfId="34069"/>
    <cellStyle name="Note 127 2 6 7" xfId="34070"/>
    <cellStyle name="Note 127 2 6 8" xfId="34071"/>
    <cellStyle name="Note 127 2 7" xfId="5070"/>
    <cellStyle name="Note 127 2 8" xfId="5071"/>
    <cellStyle name="Note 127 2 9" xfId="5072"/>
    <cellStyle name="Note 127 3" xfId="5073"/>
    <cellStyle name="Note 127 3 2" xfId="5074"/>
    <cellStyle name="Note 127 3 3" xfId="5075"/>
    <cellStyle name="Note 127 3 4" xfId="5076"/>
    <cellStyle name="Note 127 3 5" xfId="5077"/>
    <cellStyle name="Note 127 3 6" xfId="34072"/>
    <cellStyle name="Note 127 3 7" xfId="34073"/>
    <cellStyle name="Note 127 3 8" xfId="34074"/>
    <cellStyle name="Note 127 4" xfId="5078"/>
    <cellStyle name="Note 127 4 2" xfId="5079"/>
    <cellStyle name="Note 127 4 3" xfId="5080"/>
    <cellStyle name="Note 127 4 4" xfId="5081"/>
    <cellStyle name="Note 127 4 5" xfId="5082"/>
    <cellStyle name="Note 127 4 6" xfId="34075"/>
    <cellStyle name="Note 127 4 7" xfId="34076"/>
    <cellStyle name="Note 127 4 8" xfId="34077"/>
    <cellStyle name="Note 127 5" xfId="5083"/>
    <cellStyle name="Note 127 5 2" xfId="5084"/>
    <cellStyle name="Note 127 5 3" xfId="5085"/>
    <cellStyle name="Note 127 5 4" xfId="5086"/>
    <cellStyle name="Note 127 5 5" xfId="5087"/>
    <cellStyle name="Note 127 5 6" xfId="34078"/>
    <cellStyle name="Note 127 5 7" xfId="34079"/>
    <cellStyle name="Note 127 5 8" xfId="34080"/>
    <cellStyle name="Note 127 6" xfId="5088"/>
    <cellStyle name="Note 127 6 2" xfId="5089"/>
    <cellStyle name="Note 127 6 3" xfId="5090"/>
    <cellStyle name="Note 127 6 4" xfId="5091"/>
    <cellStyle name="Note 127 6 5" xfId="5092"/>
    <cellStyle name="Note 127 6 6" xfId="34081"/>
    <cellStyle name="Note 127 6 7" xfId="34082"/>
    <cellStyle name="Note 127 6 8" xfId="34083"/>
    <cellStyle name="Note 127 7" xfId="5093"/>
    <cellStyle name="Note 127 7 2" xfId="5094"/>
    <cellStyle name="Note 127 7 3" xfId="5095"/>
    <cellStyle name="Note 127 7 4" xfId="5096"/>
    <cellStyle name="Note 127 7 5" xfId="5097"/>
    <cellStyle name="Note 127 7 6" xfId="34084"/>
    <cellStyle name="Note 127 7 7" xfId="34085"/>
    <cellStyle name="Note 127 7 8" xfId="34086"/>
    <cellStyle name="Note 127 8" xfId="5098"/>
    <cellStyle name="Note 127 9" xfId="5099"/>
    <cellStyle name="Note 128" xfId="5100"/>
    <cellStyle name="Note 128 10" xfId="5101"/>
    <cellStyle name="Note 128 11" xfId="5102"/>
    <cellStyle name="Note 128 12" xfId="34087"/>
    <cellStyle name="Note 128 13" xfId="34088"/>
    <cellStyle name="Note 128 14" xfId="34089"/>
    <cellStyle name="Note 128 2" xfId="5103"/>
    <cellStyle name="Note 128 2 10" xfId="5104"/>
    <cellStyle name="Note 128 2 11" xfId="34090"/>
    <cellStyle name="Note 128 2 12" xfId="34091"/>
    <cellStyle name="Note 128 2 13" xfId="34092"/>
    <cellStyle name="Note 128 2 2" xfId="5105"/>
    <cellStyle name="Note 128 2 2 2" xfId="5106"/>
    <cellStyle name="Note 128 2 2 3" xfId="5107"/>
    <cellStyle name="Note 128 2 2 4" xfId="5108"/>
    <cellStyle name="Note 128 2 2 5" xfId="5109"/>
    <cellStyle name="Note 128 2 2 6" xfId="34093"/>
    <cellStyle name="Note 128 2 2 7" xfId="34094"/>
    <cellStyle name="Note 128 2 2 8" xfId="34095"/>
    <cellStyle name="Note 128 2 3" xfId="5110"/>
    <cellStyle name="Note 128 2 3 2" xfId="5111"/>
    <cellStyle name="Note 128 2 3 3" xfId="5112"/>
    <cellStyle name="Note 128 2 3 4" xfId="5113"/>
    <cellStyle name="Note 128 2 3 5" xfId="5114"/>
    <cellStyle name="Note 128 2 3 6" xfId="34096"/>
    <cellStyle name="Note 128 2 3 7" xfId="34097"/>
    <cellStyle name="Note 128 2 3 8" xfId="34098"/>
    <cellStyle name="Note 128 2 4" xfId="5115"/>
    <cellStyle name="Note 128 2 4 2" xfId="5116"/>
    <cellStyle name="Note 128 2 4 3" xfId="5117"/>
    <cellStyle name="Note 128 2 4 4" xfId="5118"/>
    <cellStyle name="Note 128 2 4 5" xfId="5119"/>
    <cellStyle name="Note 128 2 4 6" xfId="34099"/>
    <cellStyle name="Note 128 2 4 7" xfId="34100"/>
    <cellStyle name="Note 128 2 4 8" xfId="34101"/>
    <cellStyle name="Note 128 2 5" xfId="5120"/>
    <cellStyle name="Note 128 2 5 2" xfId="5121"/>
    <cellStyle name="Note 128 2 5 3" xfId="5122"/>
    <cellStyle name="Note 128 2 5 4" xfId="5123"/>
    <cellStyle name="Note 128 2 5 5" xfId="5124"/>
    <cellStyle name="Note 128 2 5 6" xfId="34102"/>
    <cellStyle name="Note 128 2 5 7" xfId="34103"/>
    <cellStyle name="Note 128 2 5 8" xfId="34104"/>
    <cellStyle name="Note 128 2 6" xfId="5125"/>
    <cellStyle name="Note 128 2 6 2" xfId="5126"/>
    <cellStyle name="Note 128 2 6 3" xfId="5127"/>
    <cellStyle name="Note 128 2 6 4" xfId="5128"/>
    <cellStyle name="Note 128 2 6 5" xfId="5129"/>
    <cellStyle name="Note 128 2 6 6" xfId="34105"/>
    <cellStyle name="Note 128 2 6 7" xfId="34106"/>
    <cellStyle name="Note 128 2 6 8" xfId="34107"/>
    <cellStyle name="Note 128 2 7" xfId="5130"/>
    <cellStyle name="Note 128 2 8" xfId="5131"/>
    <cellStyle name="Note 128 2 9" xfId="5132"/>
    <cellStyle name="Note 128 3" xfId="5133"/>
    <cellStyle name="Note 128 3 2" xfId="5134"/>
    <cellStyle name="Note 128 3 3" xfId="5135"/>
    <cellStyle name="Note 128 3 4" xfId="5136"/>
    <cellStyle name="Note 128 3 5" xfId="5137"/>
    <cellStyle name="Note 128 3 6" xfId="34108"/>
    <cellStyle name="Note 128 3 7" xfId="34109"/>
    <cellStyle name="Note 128 3 8" xfId="34110"/>
    <cellStyle name="Note 128 4" xfId="5138"/>
    <cellStyle name="Note 128 4 2" xfId="5139"/>
    <cellStyle name="Note 128 4 3" xfId="5140"/>
    <cellStyle name="Note 128 4 4" xfId="5141"/>
    <cellStyle name="Note 128 4 5" xfId="5142"/>
    <cellStyle name="Note 128 4 6" xfId="34111"/>
    <cellStyle name="Note 128 4 7" xfId="34112"/>
    <cellStyle name="Note 128 4 8" xfId="34113"/>
    <cellStyle name="Note 128 5" xfId="5143"/>
    <cellStyle name="Note 128 5 2" xfId="5144"/>
    <cellStyle name="Note 128 5 3" xfId="5145"/>
    <cellStyle name="Note 128 5 4" xfId="5146"/>
    <cellStyle name="Note 128 5 5" xfId="5147"/>
    <cellStyle name="Note 128 5 6" xfId="34114"/>
    <cellStyle name="Note 128 5 7" xfId="34115"/>
    <cellStyle name="Note 128 5 8" xfId="34116"/>
    <cellStyle name="Note 128 6" xfId="5148"/>
    <cellStyle name="Note 128 6 2" xfId="5149"/>
    <cellStyle name="Note 128 6 3" xfId="5150"/>
    <cellStyle name="Note 128 6 4" xfId="5151"/>
    <cellStyle name="Note 128 6 5" xfId="5152"/>
    <cellStyle name="Note 128 6 6" xfId="34117"/>
    <cellStyle name="Note 128 6 7" xfId="34118"/>
    <cellStyle name="Note 128 6 8" xfId="34119"/>
    <cellStyle name="Note 128 7" xfId="5153"/>
    <cellStyle name="Note 128 7 2" xfId="5154"/>
    <cellStyle name="Note 128 7 3" xfId="5155"/>
    <cellStyle name="Note 128 7 4" xfId="5156"/>
    <cellStyle name="Note 128 7 5" xfId="5157"/>
    <cellStyle name="Note 128 7 6" xfId="34120"/>
    <cellStyle name="Note 128 7 7" xfId="34121"/>
    <cellStyle name="Note 128 7 8" xfId="34122"/>
    <cellStyle name="Note 128 8" xfId="5158"/>
    <cellStyle name="Note 128 9" xfId="5159"/>
    <cellStyle name="Note 129" xfId="5160"/>
    <cellStyle name="Note 129 10" xfId="5161"/>
    <cellStyle name="Note 129 11" xfId="5162"/>
    <cellStyle name="Note 129 12" xfId="34123"/>
    <cellStyle name="Note 129 13" xfId="34124"/>
    <cellStyle name="Note 129 14" xfId="34125"/>
    <cellStyle name="Note 129 2" xfId="5163"/>
    <cellStyle name="Note 129 2 10" xfId="5164"/>
    <cellStyle name="Note 129 2 11" xfId="34126"/>
    <cellStyle name="Note 129 2 12" xfId="34127"/>
    <cellStyle name="Note 129 2 13" xfId="34128"/>
    <cellStyle name="Note 129 2 2" xfId="5165"/>
    <cellStyle name="Note 129 2 2 2" xfId="5166"/>
    <cellStyle name="Note 129 2 2 3" xfId="5167"/>
    <cellStyle name="Note 129 2 2 4" xfId="5168"/>
    <cellStyle name="Note 129 2 2 5" xfId="5169"/>
    <cellStyle name="Note 129 2 2 6" xfId="34129"/>
    <cellStyle name="Note 129 2 2 7" xfId="34130"/>
    <cellStyle name="Note 129 2 2 8" xfId="34131"/>
    <cellStyle name="Note 129 2 3" xfId="5170"/>
    <cellStyle name="Note 129 2 3 2" xfId="5171"/>
    <cellStyle name="Note 129 2 3 3" xfId="5172"/>
    <cellStyle name="Note 129 2 3 4" xfId="5173"/>
    <cellStyle name="Note 129 2 3 5" xfId="5174"/>
    <cellStyle name="Note 129 2 3 6" xfId="34132"/>
    <cellStyle name="Note 129 2 3 7" xfId="34133"/>
    <cellStyle name="Note 129 2 3 8" xfId="34134"/>
    <cellStyle name="Note 129 2 4" xfId="5175"/>
    <cellStyle name="Note 129 2 4 2" xfId="5176"/>
    <cellStyle name="Note 129 2 4 3" xfId="5177"/>
    <cellStyle name="Note 129 2 4 4" xfId="5178"/>
    <cellStyle name="Note 129 2 4 5" xfId="5179"/>
    <cellStyle name="Note 129 2 4 6" xfId="34135"/>
    <cellStyle name="Note 129 2 4 7" xfId="34136"/>
    <cellStyle name="Note 129 2 4 8" xfId="34137"/>
    <cellStyle name="Note 129 2 5" xfId="5180"/>
    <cellStyle name="Note 129 2 5 2" xfId="5181"/>
    <cellStyle name="Note 129 2 5 3" xfId="5182"/>
    <cellStyle name="Note 129 2 5 4" xfId="5183"/>
    <cellStyle name="Note 129 2 5 5" xfId="5184"/>
    <cellStyle name="Note 129 2 5 6" xfId="34138"/>
    <cellStyle name="Note 129 2 5 7" xfId="34139"/>
    <cellStyle name="Note 129 2 5 8" xfId="34140"/>
    <cellStyle name="Note 129 2 6" xfId="5185"/>
    <cellStyle name="Note 129 2 6 2" xfId="5186"/>
    <cellStyle name="Note 129 2 6 3" xfId="5187"/>
    <cellStyle name="Note 129 2 6 4" xfId="5188"/>
    <cellStyle name="Note 129 2 6 5" xfId="5189"/>
    <cellStyle name="Note 129 2 6 6" xfId="34141"/>
    <cellStyle name="Note 129 2 6 7" xfId="34142"/>
    <cellStyle name="Note 129 2 6 8" xfId="34143"/>
    <cellStyle name="Note 129 2 7" xfId="5190"/>
    <cellStyle name="Note 129 2 8" xfId="5191"/>
    <cellStyle name="Note 129 2 9" xfId="5192"/>
    <cellStyle name="Note 129 3" xfId="5193"/>
    <cellStyle name="Note 129 3 2" xfId="5194"/>
    <cellStyle name="Note 129 3 3" xfId="5195"/>
    <cellStyle name="Note 129 3 4" xfId="5196"/>
    <cellStyle name="Note 129 3 5" xfId="5197"/>
    <cellStyle name="Note 129 3 6" xfId="34144"/>
    <cellStyle name="Note 129 3 7" xfId="34145"/>
    <cellStyle name="Note 129 3 8" xfId="34146"/>
    <cellStyle name="Note 129 4" xfId="5198"/>
    <cellStyle name="Note 129 4 2" xfId="5199"/>
    <cellStyle name="Note 129 4 3" xfId="5200"/>
    <cellStyle name="Note 129 4 4" xfId="5201"/>
    <cellStyle name="Note 129 4 5" xfId="5202"/>
    <cellStyle name="Note 129 4 6" xfId="34147"/>
    <cellStyle name="Note 129 4 7" xfId="34148"/>
    <cellStyle name="Note 129 4 8" xfId="34149"/>
    <cellStyle name="Note 129 5" xfId="5203"/>
    <cellStyle name="Note 129 5 2" xfId="5204"/>
    <cellStyle name="Note 129 5 3" xfId="5205"/>
    <cellStyle name="Note 129 5 4" xfId="5206"/>
    <cellStyle name="Note 129 5 5" xfId="5207"/>
    <cellStyle name="Note 129 5 6" xfId="34150"/>
    <cellStyle name="Note 129 5 7" xfId="34151"/>
    <cellStyle name="Note 129 5 8" xfId="34152"/>
    <cellStyle name="Note 129 6" xfId="5208"/>
    <cellStyle name="Note 129 6 2" xfId="5209"/>
    <cellStyle name="Note 129 6 3" xfId="5210"/>
    <cellStyle name="Note 129 6 4" xfId="5211"/>
    <cellStyle name="Note 129 6 5" xfId="5212"/>
    <cellStyle name="Note 129 6 6" xfId="34153"/>
    <cellStyle name="Note 129 6 7" xfId="34154"/>
    <cellStyle name="Note 129 6 8" xfId="34155"/>
    <cellStyle name="Note 129 7" xfId="5213"/>
    <cellStyle name="Note 129 7 2" xfId="5214"/>
    <cellStyle name="Note 129 7 3" xfId="5215"/>
    <cellStyle name="Note 129 7 4" xfId="5216"/>
    <cellStyle name="Note 129 7 5" xfId="5217"/>
    <cellStyle name="Note 129 7 6" xfId="34156"/>
    <cellStyle name="Note 129 7 7" xfId="34157"/>
    <cellStyle name="Note 129 7 8" xfId="34158"/>
    <cellStyle name="Note 129 8" xfId="5218"/>
    <cellStyle name="Note 129 9" xfId="5219"/>
    <cellStyle name="Note 13" xfId="5220"/>
    <cellStyle name="Note 13 10" xfId="5221"/>
    <cellStyle name="Note 13 11" xfId="34159"/>
    <cellStyle name="Note 13 12" xfId="34160"/>
    <cellStyle name="Note 13 13" xfId="34161"/>
    <cellStyle name="Note 13 2" xfId="5222"/>
    <cellStyle name="Note 13 2 2" xfId="5223"/>
    <cellStyle name="Note 13 2 3" xfId="5224"/>
    <cellStyle name="Note 13 2 4" xfId="5225"/>
    <cellStyle name="Note 13 2 5" xfId="5226"/>
    <cellStyle name="Note 13 2 6" xfId="34162"/>
    <cellStyle name="Note 13 2 7" xfId="34163"/>
    <cellStyle name="Note 13 2 8" xfId="34164"/>
    <cellStyle name="Note 13 3" xfId="5227"/>
    <cellStyle name="Note 13 3 2" xfId="5228"/>
    <cellStyle name="Note 13 3 3" xfId="5229"/>
    <cellStyle name="Note 13 3 4" xfId="5230"/>
    <cellStyle name="Note 13 3 5" xfId="5231"/>
    <cellStyle name="Note 13 3 6" xfId="34165"/>
    <cellStyle name="Note 13 3 7" xfId="34166"/>
    <cellStyle name="Note 13 3 8" xfId="34167"/>
    <cellStyle name="Note 13 4" xfId="5232"/>
    <cellStyle name="Note 13 4 2" xfId="5233"/>
    <cellStyle name="Note 13 4 3" xfId="5234"/>
    <cellStyle name="Note 13 4 4" xfId="5235"/>
    <cellStyle name="Note 13 4 5" xfId="5236"/>
    <cellStyle name="Note 13 4 6" xfId="34168"/>
    <cellStyle name="Note 13 4 7" xfId="34169"/>
    <cellStyle name="Note 13 4 8" xfId="34170"/>
    <cellStyle name="Note 13 5" xfId="5237"/>
    <cellStyle name="Note 13 5 2" xfId="5238"/>
    <cellStyle name="Note 13 5 3" xfId="5239"/>
    <cellStyle name="Note 13 5 4" xfId="5240"/>
    <cellStyle name="Note 13 5 5" xfId="5241"/>
    <cellStyle name="Note 13 5 6" xfId="34171"/>
    <cellStyle name="Note 13 5 7" xfId="34172"/>
    <cellStyle name="Note 13 5 8" xfId="34173"/>
    <cellStyle name="Note 13 6" xfId="5242"/>
    <cellStyle name="Note 13 6 2" xfId="5243"/>
    <cellStyle name="Note 13 6 3" xfId="5244"/>
    <cellStyle name="Note 13 6 4" xfId="5245"/>
    <cellStyle name="Note 13 6 5" xfId="5246"/>
    <cellStyle name="Note 13 6 6" xfId="34174"/>
    <cellStyle name="Note 13 6 7" xfId="34175"/>
    <cellStyle name="Note 13 6 8" xfId="34176"/>
    <cellStyle name="Note 13 7" xfId="5247"/>
    <cellStyle name="Note 13 8" xfId="5248"/>
    <cellStyle name="Note 13 9" xfId="5249"/>
    <cellStyle name="Note 130" xfId="5250"/>
    <cellStyle name="Note 130 10" xfId="5251"/>
    <cellStyle name="Note 130 11" xfId="5252"/>
    <cellStyle name="Note 130 12" xfId="34177"/>
    <cellStyle name="Note 130 13" xfId="34178"/>
    <cellStyle name="Note 130 14" xfId="34179"/>
    <cellStyle name="Note 130 2" xfId="5253"/>
    <cellStyle name="Note 130 2 10" xfId="5254"/>
    <cellStyle name="Note 130 2 11" xfId="34180"/>
    <cellStyle name="Note 130 2 12" xfId="34181"/>
    <cellStyle name="Note 130 2 13" xfId="34182"/>
    <cellStyle name="Note 130 2 2" xfId="5255"/>
    <cellStyle name="Note 130 2 2 2" xfId="5256"/>
    <cellStyle name="Note 130 2 2 3" xfId="5257"/>
    <cellStyle name="Note 130 2 2 4" xfId="5258"/>
    <cellStyle name="Note 130 2 2 5" xfId="5259"/>
    <cellStyle name="Note 130 2 2 6" xfId="34183"/>
    <cellStyle name="Note 130 2 2 7" xfId="34184"/>
    <cellStyle name="Note 130 2 2 8" xfId="34185"/>
    <cellStyle name="Note 130 2 3" xfId="5260"/>
    <cellStyle name="Note 130 2 3 2" xfId="5261"/>
    <cellStyle name="Note 130 2 3 3" xfId="5262"/>
    <cellStyle name="Note 130 2 3 4" xfId="5263"/>
    <cellStyle name="Note 130 2 3 5" xfId="5264"/>
    <cellStyle name="Note 130 2 3 6" xfId="34186"/>
    <cellStyle name="Note 130 2 3 7" xfId="34187"/>
    <cellStyle name="Note 130 2 3 8" xfId="34188"/>
    <cellStyle name="Note 130 2 4" xfId="5265"/>
    <cellStyle name="Note 130 2 4 2" xfId="5266"/>
    <cellStyle name="Note 130 2 4 3" xfId="5267"/>
    <cellStyle name="Note 130 2 4 4" xfId="5268"/>
    <cellStyle name="Note 130 2 4 5" xfId="5269"/>
    <cellStyle name="Note 130 2 4 6" xfId="34189"/>
    <cellStyle name="Note 130 2 4 7" xfId="34190"/>
    <cellStyle name="Note 130 2 4 8" xfId="34191"/>
    <cellStyle name="Note 130 2 5" xfId="5270"/>
    <cellStyle name="Note 130 2 5 2" xfId="5271"/>
    <cellStyle name="Note 130 2 5 3" xfId="5272"/>
    <cellStyle name="Note 130 2 5 4" xfId="5273"/>
    <cellStyle name="Note 130 2 5 5" xfId="5274"/>
    <cellStyle name="Note 130 2 5 6" xfId="34192"/>
    <cellStyle name="Note 130 2 5 7" xfId="34193"/>
    <cellStyle name="Note 130 2 5 8" xfId="34194"/>
    <cellStyle name="Note 130 2 6" xfId="5275"/>
    <cellStyle name="Note 130 2 6 2" xfId="5276"/>
    <cellStyle name="Note 130 2 6 3" xfId="5277"/>
    <cellStyle name="Note 130 2 6 4" xfId="5278"/>
    <cellStyle name="Note 130 2 6 5" xfId="5279"/>
    <cellStyle name="Note 130 2 6 6" xfId="34195"/>
    <cellStyle name="Note 130 2 6 7" xfId="34196"/>
    <cellStyle name="Note 130 2 6 8" xfId="34197"/>
    <cellStyle name="Note 130 2 7" xfId="5280"/>
    <cellStyle name="Note 130 2 8" xfId="5281"/>
    <cellStyle name="Note 130 2 9" xfId="5282"/>
    <cellStyle name="Note 130 3" xfId="5283"/>
    <cellStyle name="Note 130 3 2" xfId="5284"/>
    <cellStyle name="Note 130 3 3" xfId="5285"/>
    <cellStyle name="Note 130 3 4" xfId="5286"/>
    <cellStyle name="Note 130 3 5" xfId="5287"/>
    <cellStyle name="Note 130 3 6" xfId="34198"/>
    <cellStyle name="Note 130 3 7" xfId="34199"/>
    <cellStyle name="Note 130 3 8" xfId="34200"/>
    <cellStyle name="Note 130 4" xfId="5288"/>
    <cellStyle name="Note 130 4 2" xfId="5289"/>
    <cellStyle name="Note 130 4 3" xfId="5290"/>
    <cellStyle name="Note 130 4 4" xfId="5291"/>
    <cellStyle name="Note 130 4 5" xfId="5292"/>
    <cellStyle name="Note 130 4 6" xfId="34201"/>
    <cellStyle name="Note 130 4 7" xfId="34202"/>
    <cellStyle name="Note 130 4 8" xfId="34203"/>
    <cellStyle name="Note 130 5" xfId="5293"/>
    <cellStyle name="Note 130 5 2" xfId="5294"/>
    <cellStyle name="Note 130 5 3" xfId="5295"/>
    <cellStyle name="Note 130 5 4" xfId="5296"/>
    <cellStyle name="Note 130 5 5" xfId="5297"/>
    <cellStyle name="Note 130 5 6" xfId="34204"/>
    <cellStyle name="Note 130 5 7" xfId="34205"/>
    <cellStyle name="Note 130 5 8" xfId="34206"/>
    <cellStyle name="Note 130 6" xfId="5298"/>
    <cellStyle name="Note 130 6 2" xfId="5299"/>
    <cellStyle name="Note 130 6 3" xfId="5300"/>
    <cellStyle name="Note 130 6 4" xfId="5301"/>
    <cellStyle name="Note 130 6 5" xfId="5302"/>
    <cellStyle name="Note 130 6 6" xfId="34207"/>
    <cellStyle name="Note 130 6 7" xfId="34208"/>
    <cellStyle name="Note 130 6 8" xfId="34209"/>
    <cellStyle name="Note 130 7" xfId="5303"/>
    <cellStyle name="Note 130 7 2" xfId="5304"/>
    <cellStyle name="Note 130 7 3" xfId="5305"/>
    <cellStyle name="Note 130 7 4" xfId="5306"/>
    <cellStyle name="Note 130 7 5" xfId="5307"/>
    <cellStyle name="Note 130 7 6" xfId="34210"/>
    <cellStyle name="Note 130 7 7" xfId="34211"/>
    <cellStyle name="Note 130 7 8" xfId="34212"/>
    <cellStyle name="Note 130 8" xfId="5308"/>
    <cellStyle name="Note 130 9" xfId="5309"/>
    <cellStyle name="Note 131" xfId="5310"/>
    <cellStyle name="Note 131 10" xfId="5311"/>
    <cellStyle name="Note 131 11" xfId="5312"/>
    <cellStyle name="Note 131 12" xfId="34213"/>
    <cellStyle name="Note 131 13" xfId="34214"/>
    <cellStyle name="Note 131 14" xfId="34215"/>
    <cellStyle name="Note 131 2" xfId="5313"/>
    <cellStyle name="Note 131 2 10" xfId="5314"/>
    <cellStyle name="Note 131 2 11" xfId="34216"/>
    <cellStyle name="Note 131 2 12" xfId="34217"/>
    <cellStyle name="Note 131 2 13" xfId="34218"/>
    <cellStyle name="Note 131 2 2" xfId="5315"/>
    <cellStyle name="Note 131 2 2 2" xfId="5316"/>
    <cellStyle name="Note 131 2 2 3" xfId="5317"/>
    <cellStyle name="Note 131 2 2 4" xfId="5318"/>
    <cellStyle name="Note 131 2 2 5" xfId="5319"/>
    <cellStyle name="Note 131 2 2 6" xfId="34219"/>
    <cellStyle name="Note 131 2 2 7" xfId="34220"/>
    <cellStyle name="Note 131 2 2 8" xfId="34221"/>
    <cellStyle name="Note 131 2 3" xfId="5320"/>
    <cellStyle name="Note 131 2 3 2" xfId="5321"/>
    <cellStyle name="Note 131 2 3 3" xfId="5322"/>
    <cellStyle name="Note 131 2 3 4" xfId="5323"/>
    <cellStyle name="Note 131 2 3 5" xfId="5324"/>
    <cellStyle name="Note 131 2 3 6" xfId="34222"/>
    <cellStyle name="Note 131 2 3 7" xfId="34223"/>
    <cellStyle name="Note 131 2 3 8" xfId="34224"/>
    <cellStyle name="Note 131 2 4" xfId="5325"/>
    <cellStyle name="Note 131 2 4 2" xfId="5326"/>
    <cellStyle name="Note 131 2 4 3" xfId="5327"/>
    <cellStyle name="Note 131 2 4 4" xfId="5328"/>
    <cellStyle name="Note 131 2 4 5" xfId="5329"/>
    <cellStyle name="Note 131 2 4 6" xfId="34225"/>
    <cellStyle name="Note 131 2 4 7" xfId="34226"/>
    <cellStyle name="Note 131 2 4 8" xfId="34227"/>
    <cellStyle name="Note 131 2 5" xfId="5330"/>
    <cellStyle name="Note 131 2 5 2" xfId="5331"/>
    <cellStyle name="Note 131 2 5 3" xfId="5332"/>
    <cellStyle name="Note 131 2 5 4" xfId="5333"/>
    <cellStyle name="Note 131 2 5 5" xfId="5334"/>
    <cellStyle name="Note 131 2 5 6" xfId="34228"/>
    <cellStyle name="Note 131 2 5 7" xfId="34229"/>
    <cellStyle name="Note 131 2 5 8" xfId="34230"/>
    <cellStyle name="Note 131 2 6" xfId="5335"/>
    <cellStyle name="Note 131 2 6 2" xfId="5336"/>
    <cellStyle name="Note 131 2 6 3" xfId="5337"/>
    <cellStyle name="Note 131 2 6 4" xfId="5338"/>
    <cellStyle name="Note 131 2 6 5" xfId="5339"/>
    <cellStyle name="Note 131 2 6 6" xfId="34231"/>
    <cellStyle name="Note 131 2 6 7" xfId="34232"/>
    <cellStyle name="Note 131 2 6 8" xfId="34233"/>
    <cellStyle name="Note 131 2 7" xfId="5340"/>
    <cellStyle name="Note 131 2 8" xfId="5341"/>
    <cellStyle name="Note 131 2 9" xfId="5342"/>
    <cellStyle name="Note 131 3" xfId="5343"/>
    <cellStyle name="Note 131 3 2" xfId="5344"/>
    <cellStyle name="Note 131 3 3" xfId="5345"/>
    <cellStyle name="Note 131 3 4" xfId="5346"/>
    <cellStyle name="Note 131 3 5" xfId="5347"/>
    <cellStyle name="Note 131 3 6" xfId="34234"/>
    <cellStyle name="Note 131 3 7" xfId="34235"/>
    <cellStyle name="Note 131 3 8" xfId="34236"/>
    <cellStyle name="Note 131 4" xfId="5348"/>
    <cellStyle name="Note 131 4 2" xfId="5349"/>
    <cellStyle name="Note 131 4 3" xfId="5350"/>
    <cellStyle name="Note 131 4 4" xfId="5351"/>
    <cellStyle name="Note 131 4 5" xfId="5352"/>
    <cellStyle name="Note 131 4 6" xfId="34237"/>
    <cellStyle name="Note 131 4 7" xfId="34238"/>
    <cellStyle name="Note 131 4 8" xfId="34239"/>
    <cellStyle name="Note 131 5" xfId="5353"/>
    <cellStyle name="Note 131 5 2" xfId="5354"/>
    <cellStyle name="Note 131 5 3" xfId="5355"/>
    <cellStyle name="Note 131 5 4" xfId="5356"/>
    <cellStyle name="Note 131 5 5" xfId="5357"/>
    <cellStyle name="Note 131 5 6" xfId="34240"/>
    <cellStyle name="Note 131 5 7" xfId="34241"/>
    <cellStyle name="Note 131 5 8" xfId="34242"/>
    <cellStyle name="Note 131 6" xfId="5358"/>
    <cellStyle name="Note 131 6 2" xfId="5359"/>
    <cellStyle name="Note 131 6 3" xfId="5360"/>
    <cellStyle name="Note 131 6 4" xfId="5361"/>
    <cellStyle name="Note 131 6 5" xfId="5362"/>
    <cellStyle name="Note 131 6 6" xfId="34243"/>
    <cellStyle name="Note 131 6 7" xfId="34244"/>
    <cellStyle name="Note 131 6 8" xfId="34245"/>
    <cellStyle name="Note 131 7" xfId="5363"/>
    <cellStyle name="Note 131 7 2" xfId="5364"/>
    <cellStyle name="Note 131 7 3" xfId="5365"/>
    <cellStyle name="Note 131 7 4" xfId="5366"/>
    <cellStyle name="Note 131 7 5" xfId="5367"/>
    <cellStyle name="Note 131 7 6" xfId="34246"/>
    <cellStyle name="Note 131 7 7" xfId="34247"/>
    <cellStyle name="Note 131 7 8" xfId="34248"/>
    <cellStyle name="Note 131 8" xfId="5368"/>
    <cellStyle name="Note 131 9" xfId="5369"/>
    <cellStyle name="Note 132" xfId="5370"/>
    <cellStyle name="Note 132 10" xfId="5371"/>
    <cellStyle name="Note 132 11" xfId="5372"/>
    <cellStyle name="Note 132 12" xfId="34249"/>
    <cellStyle name="Note 132 13" xfId="34250"/>
    <cellStyle name="Note 132 14" xfId="34251"/>
    <cellStyle name="Note 132 2" xfId="5373"/>
    <cellStyle name="Note 132 2 10" xfId="5374"/>
    <cellStyle name="Note 132 2 11" xfId="34252"/>
    <cellStyle name="Note 132 2 12" xfId="34253"/>
    <cellStyle name="Note 132 2 13" xfId="34254"/>
    <cellStyle name="Note 132 2 2" xfId="5375"/>
    <cellStyle name="Note 132 2 2 2" xfId="5376"/>
    <cellStyle name="Note 132 2 2 3" xfId="5377"/>
    <cellStyle name="Note 132 2 2 4" xfId="5378"/>
    <cellStyle name="Note 132 2 2 5" xfId="5379"/>
    <cellStyle name="Note 132 2 2 6" xfId="34255"/>
    <cellStyle name="Note 132 2 2 7" xfId="34256"/>
    <cellStyle name="Note 132 2 2 8" xfId="34257"/>
    <cellStyle name="Note 132 2 3" xfId="5380"/>
    <cellStyle name="Note 132 2 3 2" xfId="5381"/>
    <cellStyle name="Note 132 2 3 3" xfId="5382"/>
    <cellStyle name="Note 132 2 3 4" xfId="5383"/>
    <cellStyle name="Note 132 2 3 5" xfId="5384"/>
    <cellStyle name="Note 132 2 3 6" xfId="34258"/>
    <cellStyle name="Note 132 2 3 7" xfId="34259"/>
    <cellStyle name="Note 132 2 3 8" xfId="34260"/>
    <cellStyle name="Note 132 2 4" xfId="5385"/>
    <cellStyle name="Note 132 2 4 2" xfId="5386"/>
    <cellStyle name="Note 132 2 4 3" xfId="5387"/>
    <cellStyle name="Note 132 2 4 4" xfId="5388"/>
    <cellStyle name="Note 132 2 4 5" xfId="5389"/>
    <cellStyle name="Note 132 2 4 6" xfId="34261"/>
    <cellStyle name="Note 132 2 4 7" xfId="34262"/>
    <cellStyle name="Note 132 2 4 8" xfId="34263"/>
    <cellStyle name="Note 132 2 5" xfId="5390"/>
    <cellStyle name="Note 132 2 5 2" xfId="5391"/>
    <cellStyle name="Note 132 2 5 3" xfId="5392"/>
    <cellStyle name="Note 132 2 5 4" xfId="5393"/>
    <cellStyle name="Note 132 2 5 5" xfId="5394"/>
    <cellStyle name="Note 132 2 5 6" xfId="34264"/>
    <cellStyle name="Note 132 2 5 7" xfId="34265"/>
    <cellStyle name="Note 132 2 5 8" xfId="34266"/>
    <cellStyle name="Note 132 2 6" xfId="5395"/>
    <cellStyle name="Note 132 2 6 2" xfId="5396"/>
    <cellStyle name="Note 132 2 6 3" xfId="5397"/>
    <cellStyle name="Note 132 2 6 4" xfId="5398"/>
    <cellStyle name="Note 132 2 6 5" xfId="5399"/>
    <cellStyle name="Note 132 2 6 6" xfId="34267"/>
    <cellStyle name="Note 132 2 6 7" xfId="34268"/>
    <cellStyle name="Note 132 2 6 8" xfId="34269"/>
    <cellStyle name="Note 132 2 7" xfId="5400"/>
    <cellStyle name="Note 132 2 8" xfId="5401"/>
    <cellStyle name="Note 132 2 9" xfId="5402"/>
    <cellStyle name="Note 132 3" xfId="5403"/>
    <cellStyle name="Note 132 3 2" xfId="5404"/>
    <cellStyle name="Note 132 3 3" xfId="5405"/>
    <cellStyle name="Note 132 3 4" xfId="5406"/>
    <cellStyle name="Note 132 3 5" xfId="5407"/>
    <cellStyle name="Note 132 3 6" xfId="34270"/>
    <cellStyle name="Note 132 3 7" xfId="34271"/>
    <cellStyle name="Note 132 3 8" xfId="34272"/>
    <cellStyle name="Note 132 4" xfId="5408"/>
    <cellStyle name="Note 132 4 2" xfId="5409"/>
    <cellStyle name="Note 132 4 3" xfId="5410"/>
    <cellStyle name="Note 132 4 4" xfId="5411"/>
    <cellStyle name="Note 132 4 5" xfId="5412"/>
    <cellStyle name="Note 132 4 6" xfId="34273"/>
    <cellStyle name="Note 132 4 7" xfId="34274"/>
    <cellStyle name="Note 132 4 8" xfId="34275"/>
    <cellStyle name="Note 132 5" xfId="5413"/>
    <cellStyle name="Note 132 5 2" xfId="5414"/>
    <cellStyle name="Note 132 5 3" xfId="5415"/>
    <cellStyle name="Note 132 5 4" xfId="5416"/>
    <cellStyle name="Note 132 5 5" xfId="5417"/>
    <cellStyle name="Note 132 5 6" xfId="34276"/>
    <cellStyle name="Note 132 5 7" xfId="34277"/>
    <cellStyle name="Note 132 5 8" xfId="34278"/>
    <cellStyle name="Note 132 6" xfId="5418"/>
    <cellStyle name="Note 132 6 2" xfId="5419"/>
    <cellStyle name="Note 132 6 3" xfId="5420"/>
    <cellStyle name="Note 132 6 4" xfId="5421"/>
    <cellStyle name="Note 132 6 5" xfId="5422"/>
    <cellStyle name="Note 132 6 6" xfId="34279"/>
    <cellStyle name="Note 132 6 7" xfId="34280"/>
    <cellStyle name="Note 132 6 8" xfId="34281"/>
    <cellStyle name="Note 132 7" xfId="5423"/>
    <cellStyle name="Note 132 7 2" xfId="5424"/>
    <cellStyle name="Note 132 7 3" xfId="5425"/>
    <cellStyle name="Note 132 7 4" xfId="5426"/>
    <cellStyle name="Note 132 7 5" xfId="5427"/>
    <cellStyle name="Note 132 7 6" xfId="34282"/>
    <cellStyle name="Note 132 7 7" xfId="34283"/>
    <cellStyle name="Note 132 7 8" xfId="34284"/>
    <cellStyle name="Note 132 8" xfId="5428"/>
    <cellStyle name="Note 132 9" xfId="5429"/>
    <cellStyle name="Note 133" xfId="5430"/>
    <cellStyle name="Note 133 10" xfId="5431"/>
    <cellStyle name="Note 133 11" xfId="5432"/>
    <cellStyle name="Note 133 12" xfId="34285"/>
    <cellStyle name="Note 133 13" xfId="34286"/>
    <cellStyle name="Note 133 14" xfId="34287"/>
    <cellStyle name="Note 133 2" xfId="5433"/>
    <cellStyle name="Note 133 2 10" xfId="5434"/>
    <cellStyle name="Note 133 2 11" xfId="34288"/>
    <cellStyle name="Note 133 2 12" xfId="34289"/>
    <cellStyle name="Note 133 2 13" xfId="34290"/>
    <cellStyle name="Note 133 2 2" xfId="5435"/>
    <cellStyle name="Note 133 2 2 2" xfId="5436"/>
    <cellStyle name="Note 133 2 2 3" xfId="5437"/>
    <cellStyle name="Note 133 2 2 4" xfId="5438"/>
    <cellStyle name="Note 133 2 2 5" xfId="5439"/>
    <cellStyle name="Note 133 2 2 6" xfId="34291"/>
    <cellStyle name="Note 133 2 2 7" xfId="34292"/>
    <cellStyle name="Note 133 2 2 8" xfId="34293"/>
    <cellStyle name="Note 133 2 3" xfId="5440"/>
    <cellStyle name="Note 133 2 3 2" xfId="5441"/>
    <cellStyle name="Note 133 2 3 3" xfId="5442"/>
    <cellStyle name="Note 133 2 3 4" xfId="5443"/>
    <cellStyle name="Note 133 2 3 5" xfId="5444"/>
    <cellStyle name="Note 133 2 3 6" xfId="34294"/>
    <cellStyle name="Note 133 2 3 7" xfId="34295"/>
    <cellStyle name="Note 133 2 3 8" xfId="34296"/>
    <cellStyle name="Note 133 2 4" xfId="5445"/>
    <cellStyle name="Note 133 2 4 2" xfId="5446"/>
    <cellStyle name="Note 133 2 4 3" xfId="5447"/>
    <cellStyle name="Note 133 2 4 4" xfId="5448"/>
    <cellStyle name="Note 133 2 4 5" xfId="5449"/>
    <cellStyle name="Note 133 2 4 6" xfId="34297"/>
    <cellStyle name="Note 133 2 4 7" xfId="34298"/>
    <cellStyle name="Note 133 2 4 8" xfId="34299"/>
    <cellStyle name="Note 133 2 5" xfId="5450"/>
    <cellStyle name="Note 133 2 5 2" xfId="5451"/>
    <cellStyle name="Note 133 2 5 3" xfId="5452"/>
    <cellStyle name="Note 133 2 5 4" xfId="5453"/>
    <cellStyle name="Note 133 2 5 5" xfId="5454"/>
    <cellStyle name="Note 133 2 5 6" xfId="34300"/>
    <cellStyle name="Note 133 2 5 7" xfId="34301"/>
    <cellStyle name="Note 133 2 5 8" xfId="34302"/>
    <cellStyle name="Note 133 2 6" xfId="5455"/>
    <cellStyle name="Note 133 2 6 2" xfId="5456"/>
    <cellStyle name="Note 133 2 6 3" xfId="5457"/>
    <cellStyle name="Note 133 2 6 4" xfId="5458"/>
    <cellStyle name="Note 133 2 6 5" xfId="5459"/>
    <cellStyle name="Note 133 2 6 6" xfId="34303"/>
    <cellStyle name="Note 133 2 6 7" xfId="34304"/>
    <cellStyle name="Note 133 2 6 8" xfId="34305"/>
    <cellStyle name="Note 133 2 7" xfId="5460"/>
    <cellStyle name="Note 133 2 8" xfId="5461"/>
    <cellStyle name="Note 133 2 9" xfId="5462"/>
    <cellStyle name="Note 133 3" xfId="5463"/>
    <cellStyle name="Note 133 3 2" xfId="5464"/>
    <cellStyle name="Note 133 3 3" xfId="5465"/>
    <cellStyle name="Note 133 3 4" xfId="5466"/>
    <cellStyle name="Note 133 3 5" xfId="5467"/>
    <cellStyle name="Note 133 3 6" xfId="34306"/>
    <cellStyle name="Note 133 3 7" xfId="34307"/>
    <cellStyle name="Note 133 3 8" xfId="34308"/>
    <cellStyle name="Note 133 4" xfId="5468"/>
    <cellStyle name="Note 133 4 2" xfId="5469"/>
    <cellStyle name="Note 133 4 3" xfId="5470"/>
    <cellStyle name="Note 133 4 4" xfId="5471"/>
    <cellStyle name="Note 133 4 5" xfId="5472"/>
    <cellStyle name="Note 133 4 6" xfId="34309"/>
    <cellStyle name="Note 133 4 7" xfId="34310"/>
    <cellStyle name="Note 133 4 8" xfId="34311"/>
    <cellStyle name="Note 133 5" xfId="5473"/>
    <cellStyle name="Note 133 5 2" xfId="5474"/>
    <cellStyle name="Note 133 5 3" xfId="5475"/>
    <cellStyle name="Note 133 5 4" xfId="5476"/>
    <cellStyle name="Note 133 5 5" xfId="5477"/>
    <cellStyle name="Note 133 5 6" xfId="34312"/>
    <cellStyle name="Note 133 5 7" xfId="34313"/>
    <cellStyle name="Note 133 5 8" xfId="34314"/>
    <cellStyle name="Note 133 6" xfId="5478"/>
    <cellStyle name="Note 133 6 2" xfId="5479"/>
    <cellStyle name="Note 133 6 3" xfId="5480"/>
    <cellStyle name="Note 133 6 4" xfId="5481"/>
    <cellStyle name="Note 133 6 5" xfId="5482"/>
    <cellStyle name="Note 133 6 6" xfId="34315"/>
    <cellStyle name="Note 133 6 7" xfId="34316"/>
    <cellStyle name="Note 133 6 8" xfId="34317"/>
    <cellStyle name="Note 133 7" xfId="5483"/>
    <cellStyle name="Note 133 7 2" xfId="5484"/>
    <cellStyle name="Note 133 7 3" xfId="5485"/>
    <cellStyle name="Note 133 7 4" xfId="5486"/>
    <cellStyle name="Note 133 7 5" xfId="5487"/>
    <cellStyle name="Note 133 7 6" xfId="34318"/>
    <cellStyle name="Note 133 7 7" xfId="34319"/>
    <cellStyle name="Note 133 7 8" xfId="34320"/>
    <cellStyle name="Note 133 8" xfId="5488"/>
    <cellStyle name="Note 133 9" xfId="5489"/>
    <cellStyle name="Note 134" xfId="5490"/>
    <cellStyle name="Note 134 10" xfId="5491"/>
    <cellStyle name="Note 134 11" xfId="5492"/>
    <cellStyle name="Note 134 12" xfId="34321"/>
    <cellStyle name="Note 134 13" xfId="34322"/>
    <cellStyle name="Note 134 14" xfId="34323"/>
    <cellStyle name="Note 134 2" xfId="5493"/>
    <cellStyle name="Note 134 2 10" xfId="5494"/>
    <cellStyle name="Note 134 2 11" xfId="34324"/>
    <cellStyle name="Note 134 2 12" xfId="34325"/>
    <cellStyle name="Note 134 2 13" xfId="34326"/>
    <cellStyle name="Note 134 2 2" xfId="5495"/>
    <cellStyle name="Note 134 2 2 2" xfId="5496"/>
    <cellStyle name="Note 134 2 2 3" xfId="5497"/>
    <cellStyle name="Note 134 2 2 4" xfId="5498"/>
    <cellStyle name="Note 134 2 2 5" xfId="5499"/>
    <cellStyle name="Note 134 2 2 6" xfId="34327"/>
    <cellStyle name="Note 134 2 2 7" xfId="34328"/>
    <cellStyle name="Note 134 2 2 8" xfId="34329"/>
    <cellStyle name="Note 134 2 3" xfId="5500"/>
    <cellStyle name="Note 134 2 3 2" xfId="5501"/>
    <cellStyle name="Note 134 2 3 3" xfId="5502"/>
    <cellStyle name="Note 134 2 3 4" xfId="5503"/>
    <cellStyle name="Note 134 2 3 5" xfId="5504"/>
    <cellStyle name="Note 134 2 3 6" xfId="34330"/>
    <cellStyle name="Note 134 2 3 7" xfId="34331"/>
    <cellStyle name="Note 134 2 3 8" xfId="34332"/>
    <cellStyle name="Note 134 2 4" xfId="5505"/>
    <cellStyle name="Note 134 2 4 2" xfId="5506"/>
    <cellStyle name="Note 134 2 4 3" xfId="5507"/>
    <cellStyle name="Note 134 2 4 4" xfId="5508"/>
    <cellStyle name="Note 134 2 4 5" xfId="5509"/>
    <cellStyle name="Note 134 2 4 6" xfId="34333"/>
    <cellStyle name="Note 134 2 4 7" xfId="34334"/>
    <cellStyle name="Note 134 2 4 8" xfId="34335"/>
    <cellStyle name="Note 134 2 5" xfId="5510"/>
    <cellStyle name="Note 134 2 5 2" xfId="5511"/>
    <cellStyle name="Note 134 2 5 3" xfId="5512"/>
    <cellStyle name="Note 134 2 5 4" xfId="5513"/>
    <cellStyle name="Note 134 2 5 5" xfId="5514"/>
    <cellStyle name="Note 134 2 5 6" xfId="34336"/>
    <cellStyle name="Note 134 2 5 7" xfId="34337"/>
    <cellStyle name="Note 134 2 5 8" xfId="34338"/>
    <cellStyle name="Note 134 2 6" xfId="5515"/>
    <cellStyle name="Note 134 2 6 2" xfId="5516"/>
    <cellStyle name="Note 134 2 6 3" xfId="5517"/>
    <cellStyle name="Note 134 2 6 4" xfId="5518"/>
    <cellStyle name="Note 134 2 6 5" xfId="5519"/>
    <cellStyle name="Note 134 2 6 6" xfId="34339"/>
    <cellStyle name="Note 134 2 6 7" xfId="34340"/>
    <cellStyle name="Note 134 2 6 8" xfId="34341"/>
    <cellStyle name="Note 134 2 7" xfId="5520"/>
    <cellStyle name="Note 134 2 8" xfId="5521"/>
    <cellStyle name="Note 134 2 9" xfId="5522"/>
    <cellStyle name="Note 134 3" xfId="5523"/>
    <cellStyle name="Note 134 3 2" xfId="5524"/>
    <cellStyle name="Note 134 3 3" xfId="5525"/>
    <cellStyle name="Note 134 3 4" xfId="5526"/>
    <cellStyle name="Note 134 3 5" xfId="5527"/>
    <cellStyle name="Note 134 3 6" xfId="34342"/>
    <cellStyle name="Note 134 3 7" xfId="34343"/>
    <cellStyle name="Note 134 3 8" xfId="34344"/>
    <cellStyle name="Note 134 4" xfId="5528"/>
    <cellStyle name="Note 134 4 2" xfId="5529"/>
    <cellStyle name="Note 134 4 3" xfId="5530"/>
    <cellStyle name="Note 134 4 4" xfId="5531"/>
    <cellStyle name="Note 134 4 5" xfId="5532"/>
    <cellStyle name="Note 134 4 6" xfId="34345"/>
    <cellStyle name="Note 134 4 7" xfId="34346"/>
    <cellStyle name="Note 134 4 8" xfId="34347"/>
    <cellStyle name="Note 134 5" xfId="5533"/>
    <cellStyle name="Note 134 5 2" xfId="5534"/>
    <cellStyle name="Note 134 5 3" xfId="5535"/>
    <cellStyle name="Note 134 5 4" xfId="5536"/>
    <cellStyle name="Note 134 5 5" xfId="5537"/>
    <cellStyle name="Note 134 5 6" xfId="34348"/>
    <cellStyle name="Note 134 5 7" xfId="34349"/>
    <cellStyle name="Note 134 5 8" xfId="34350"/>
    <cellStyle name="Note 134 6" xfId="5538"/>
    <cellStyle name="Note 134 6 2" xfId="5539"/>
    <cellStyle name="Note 134 6 3" xfId="5540"/>
    <cellStyle name="Note 134 6 4" xfId="5541"/>
    <cellStyle name="Note 134 6 5" xfId="5542"/>
    <cellStyle name="Note 134 6 6" xfId="34351"/>
    <cellStyle name="Note 134 6 7" xfId="34352"/>
    <cellStyle name="Note 134 6 8" xfId="34353"/>
    <cellStyle name="Note 134 7" xfId="5543"/>
    <cellStyle name="Note 134 7 2" xfId="5544"/>
    <cellStyle name="Note 134 7 3" xfId="5545"/>
    <cellStyle name="Note 134 7 4" xfId="5546"/>
    <cellStyle name="Note 134 7 5" xfId="5547"/>
    <cellStyle name="Note 134 7 6" xfId="34354"/>
    <cellStyle name="Note 134 7 7" xfId="34355"/>
    <cellStyle name="Note 134 7 8" xfId="34356"/>
    <cellStyle name="Note 134 8" xfId="5548"/>
    <cellStyle name="Note 134 9" xfId="5549"/>
    <cellStyle name="Note 135" xfId="5550"/>
    <cellStyle name="Note 135 10" xfId="5551"/>
    <cellStyle name="Note 135 11" xfId="5552"/>
    <cellStyle name="Note 135 12" xfId="34357"/>
    <cellStyle name="Note 135 13" xfId="34358"/>
    <cellStyle name="Note 135 14" xfId="34359"/>
    <cellStyle name="Note 135 2" xfId="5553"/>
    <cellStyle name="Note 135 2 10" xfId="5554"/>
    <cellStyle name="Note 135 2 11" xfId="34360"/>
    <cellStyle name="Note 135 2 12" xfId="34361"/>
    <cellStyle name="Note 135 2 13" xfId="34362"/>
    <cellStyle name="Note 135 2 2" xfId="5555"/>
    <cellStyle name="Note 135 2 2 2" xfId="5556"/>
    <cellStyle name="Note 135 2 2 3" xfId="5557"/>
    <cellStyle name="Note 135 2 2 4" xfId="5558"/>
    <cellStyle name="Note 135 2 2 5" xfId="5559"/>
    <cellStyle name="Note 135 2 2 6" xfId="34363"/>
    <cellStyle name="Note 135 2 2 7" xfId="34364"/>
    <cellStyle name="Note 135 2 2 8" xfId="34365"/>
    <cellStyle name="Note 135 2 3" xfId="5560"/>
    <cellStyle name="Note 135 2 3 2" xfId="5561"/>
    <cellStyle name="Note 135 2 3 3" xfId="5562"/>
    <cellStyle name="Note 135 2 3 4" xfId="5563"/>
    <cellStyle name="Note 135 2 3 5" xfId="5564"/>
    <cellStyle name="Note 135 2 3 6" xfId="34366"/>
    <cellStyle name="Note 135 2 3 7" xfId="34367"/>
    <cellStyle name="Note 135 2 3 8" xfId="34368"/>
    <cellStyle name="Note 135 2 4" xfId="5565"/>
    <cellStyle name="Note 135 2 4 2" xfId="5566"/>
    <cellStyle name="Note 135 2 4 3" xfId="5567"/>
    <cellStyle name="Note 135 2 4 4" xfId="5568"/>
    <cellStyle name="Note 135 2 4 5" xfId="5569"/>
    <cellStyle name="Note 135 2 4 6" xfId="34369"/>
    <cellStyle name="Note 135 2 4 7" xfId="34370"/>
    <cellStyle name="Note 135 2 4 8" xfId="34371"/>
    <cellStyle name="Note 135 2 5" xfId="5570"/>
    <cellStyle name="Note 135 2 5 2" xfId="5571"/>
    <cellStyle name="Note 135 2 5 3" xfId="5572"/>
    <cellStyle name="Note 135 2 5 4" xfId="5573"/>
    <cellStyle name="Note 135 2 5 5" xfId="5574"/>
    <cellStyle name="Note 135 2 5 6" xfId="34372"/>
    <cellStyle name="Note 135 2 5 7" xfId="34373"/>
    <cellStyle name="Note 135 2 5 8" xfId="34374"/>
    <cellStyle name="Note 135 2 6" xfId="5575"/>
    <cellStyle name="Note 135 2 6 2" xfId="5576"/>
    <cellStyle name="Note 135 2 6 3" xfId="5577"/>
    <cellStyle name="Note 135 2 6 4" xfId="5578"/>
    <cellStyle name="Note 135 2 6 5" xfId="5579"/>
    <cellStyle name="Note 135 2 6 6" xfId="34375"/>
    <cellStyle name="Note 135 2 6 7" xfId="34376"/>
    <cellStyle name="Note 135 2 6 8" xfId="34377"/>
    <cellStyle name="Note 135 2 7" xfId="5580"/>
    <cellStyle name="Note 135 2 8" xfId="5581"/>
    <cellStyle name="Note 135 2 9" xfId="5582"/>
    <cellStyle name="Note 135 3" xfId="5583"/>
    <cellStyle name="Note 135 3 2" xfId="5584"/>
    <cellStyle name="Note 135 3 3" xfId="5585"/>
    <cellStyle name="Note 135 3 4" xfId="5586"/>
    <cellStyle name="Note 135 3 5" xfId="5587"/>
    <cellStyle name="Note 135 3 6" xfId="34378"/>
    <cellStyle name="Note 135 3 7" xfId="34379"/>
    <cellStyle name="Note 135 3 8" xfId="34380"/>
    <cellStyle name="Note 135 4" xfId="5588"/>
    <cellStyle name="Note 135 4 2" xfId="5589"/>
    <cellStyle name="Note 135 4 3" xfId="5590"/>
    <cellStyle name="Note 135 4 4" xfId="5591"/>
    <cellStyle name="Note 135 4 5" xfId="5592"/>
    <cellStyle name="Note 135 4 6" xfId="34381"/>
    <cellStyle name="Note 135 4 7" xfId="34382"/>
    <cellStyle name="Note 135 4 8" xfId="34383"/>
    <cellStyle name="Note 135 5" xfId="5593"/>
    <cellStyle name="Note 135 5 2" xfId="5594"/>
    <cellStyle name="Note 135 5 3" xfId="5595"/>
    <cellStyle name="Note 135 5 4" xfId="5596"/>
    <cellStyle name="Note 135 5 5" xfId="5597"/>
    <cellStyle name="Note 135 5 6" xfId="34384"/>
    <cellStyle name="Note 135 5 7" xfId="34385"/>
    <cellStyle name="Note 135 5 8" xfId="34386"/>
    <cellStyle name="Note 135 6" xfId="5598"/>
    <cellStyle name="Note 135 6 2" xfId="5599"/>
    <cellStyle name="Note 135 6 3" xfId="5600"/>
    <cellStyle name="Note 135 6 4" xfId="5601"/>
    <cellStyle name="Note 135 6 5" xfId="5602"/>
    <cellStyle name="Note 135 6 6" xfId="34387"/>
    <cellStyle name="Note 135 6 7" xfId="34388"/>
    <cellStyle name="Note 135 6 8" xfId="34389"/>
    <cellStyle name="Note 135 7" xfId="5603"/>
    <cellStyle name="Note 135 7 2" xfId="5604"/>
    <cellStyle name="Note 135 7 3" xfId="5605"/>
    <cellStyle name="Note 135 7 4" xfId="5606"/>
    <cellStyle name="Note 135 7 5" xfId="5607"/>
    <cellStyle name="Note 135 7 6" xfId="34390"/>
    <cellStyle name="Note 135 7 7" xfId="34391"/>
    <cellStyle name="Note 135 7 8" xfId="34392"/>
    <cellStyle name="Note 135 8" xfId="5608"/>
    <cellStyle name="Note 135 9" xfId="5609"/>
    <cellStyle name="Note 136" xfId="5610"/>
    <cellStyle name="Note 136 10" xfId="5611"/>
    <cellStyle name="Note 136 11" xfId="5612"/>
    <cellStyle name="Note 136 12" xfId="34393"/>
    <cellStyle name="Note 136 13" xfId="34394"/>
    <cellStyle name="Note 136 14" xfId="34395"/>
    <cellStyle name="Note 136 2" xfId="5613"/>
    <cellStyle name="Note 136 2 10" xfId="5614"/>
    <cellStyle name="Note 136 2 11" xfId="34396"/>
    <cellStyle name="Note 136 2 12" xfId="34397"/>
    <cellStyle name="Note 136 2 13" xfId="34398"/>
    <cellStyle name="Note 136 2 2" xfId="5615"/>
    <cellStyle name="Note 136 2 2 2" xfId="5616"/>
    <cellStyle name="Note 136 2 2 3" xfId="5617"/>
    <cellStyle name="Note 136 2 2 4" xfId="5618"/>
    <cellStyle name="Note 136 2 2 5" xfId="5619"/>
    <cellStyle name="Note 136 2 2 6" xfId="34399"/>
    <cellStyle name="Note 136 2 2 7" xfId="34400"/>
    <cellStyle name="Note 136 2 2 8" xfId="34401"/>
    <cellStyle name="Note 136 2 3" xfId="5620"/>
    <cellStyle name="Note 136 2 3 2" xfId="5621"/>
    <cellStyle name="Note 136 2 3 3" xfId="5622"/>
    <cellStyle name="Note 136 2 3 4" xfId="5623"/>
    <cellStyle name="Note 136 2 3 5" xfId="5624"/>
    <cellStyle name="Note 136 2 3 6" xfId="34402"/>
    <cellStyle name="Note 136 2 3 7" xfId="34403"/>
    <cellStyle name="Note 136 2 3 8" xfId="34404"/>
    <cellStyle name="Note 136 2 4" xfId="5625"/>
    <cellStyle name="Note 136 2 4 2" xfId="5626"/>
    <cellStyle name="Note 136 2 4 3" xfId="5627"/>
    <cellStyle name="Note 136 2 4 4" xfId="5628"/>
    <cellStyle name="Note 136 2 4 5" xfId="5629"/>
    <cellStyle name="Note 136 2 4 6" xfId="34405"/>
    <cellStyle name="Note 136 2 4 7" xfId="34406"/>
    <cellStyle name="Note 136 2 4 8" xfId="34407"/>
    <cellStyle name="Note 136 2 5" xfId="5630"/>
    <cellStyle name="Note 136 2 5 2" xfId="5631"/>
    <cellStyle name="Note 136 2 5 3" xfId="5632"/>
    <cellStyle name="Note 136 2 5 4" xfId="5633"/>
    <cellStyle name="Note 136 2 5 5" xfId="5634"/>
    <cellStyle name="Note 136 2 5 6" xfId="34408"/>
    <cellStyle name="Note 136 2 5 7" xfId="34409"/>
    <cellStyle name="Note 136 2 5 8" xfId="34410"/>
    <cellStyle name="Note 136 2 6" xfId="5635"/>
    <cellStyle name="Note 136 2 6 2" xfId="5636"/>
    <cellStyle name="Note 136 2 6 3" xfId="5637"/>
    <cellStyle name="Note 136 2 6 4" xfId="5638"/>
    <cellStyle name="Note 136 2 6 5" xfId="5639"/>
    <cellStyle name="Note 136 2 6 6" xfId="34411"/>
    <cellStyle name="Note 136 2 6 7" xfId="34412"/>
    <cellStyle name="Note 136 2 6 8" xfId="34413"/>
    <cellStyle name="Note 136 2 7" xfId="5640"/>
    <cellStyle name="Note 136 2 8" xfId="5641"/>
    <cellStyle name="Note 136 2 9" xfId="5642"/>
    <cellStyle name="Note 136 3" xfId="5643"/>
    <cellStyle name="Note 136 3 2" xfId="5644"/>
    <cellStyle name="Note 136 3 3" xfId="5645"/>
    <cellStyle name="Note 136 3 4" xfId="5646"/>
    <cellStyle name="Note 136 3 5" xfId="5647"/>
    <cellStyle name="Note 136 3 6" xfId="34414"/>
    <cellStyle name="Note 136 3 7" xfId="34415"/>
    <cellStyle name="Note 136 3 8" xfId="34416"/>
    <cellStyle name="Note 136 4" xfId="5648"/>
    <cellStyle name="Note 136 4 2" xfId="5649"/>
    <cellStyle name="Note 136 4 3" xfId="5650"/>
    <cellStyle name="Note 136 4 4" xfId="5651"/>
    <cellStyle name="Note 136 4 5" xfId="5652"/>
    <cellStyle name="Note 136 4 6" xfId="34417"/>
    <cellStyle name="Note 136 4 7" xfId="34418"/>
    <cellStyle name="Note 136 4 8" xfId="34419"/>
    <cellStyle name="Note 136 5" xfId="5653"/>
    <cellStyle name="Note 136 5 2" xfId="5654"/>
    <cellStyle name="Note 136 5 3" xfId="5655"/>
    <cellStyle name="Note 136 5 4" xfId="5656"/>
    <cellStyle name="Note 136 5 5" xfId="5657"/>
    <cellStyle name="Note 136 5 6" xfId="34420"/>
    <cellStyle name="Note 136 5 7" xfId="34421"/>
    <cellStyle name="Note 136 5 8" xfId="34422"/>
    <cellStyle name="Note 136 6" xfId="5658"/>
    <cellStyle name="Note 136 6 2" xfId="5659"/>
    <cellStyle name="Note 136 6 3" xfId="5660"/>
    <cellStyle name="Note 136 6 4" xfId="5661"/>
    <cellStyle name="Note 136 6 5" xfId="5662"/>
    <cellStyle name="Note 136 6 6" xfId="34423"/>
    <cellStyle name="Note 136 6 7" xfId="34424"/>
    <cellStyle name="Note 136 6 8" xfId="34425"/>
    <cellStyle name="Note 136 7" xfId="5663"/>
    <cellStyle name="Note 136 7 2" xfId="5664"/>
    <cellStyle name="Note 136 7 3" xfId="5665"/>
    <cellStyle name="Note 136 7 4" xfId="5666"/>
    <cellStyle name="Note 136 7 5" xfId="5667"/>
    <cellStyle name="Note 136 7 6" xfId="34426"/>
    <cellStyle name="Note 136 7 7" xfId="34427"/>
    <cellStyle name="Note 136 7 8" xfId="34428"/>
    <cellStyle name="Note 136 8" xfId="5668"/>
    <cellStyle name="Note 136 9" xfId="5669"/>
    <cellStyle name="Note 137" xfId="5670"/>
    <cellStyle name="Note 137 10" xfId="5671"/>
    <cellStyle name="Note 137 11" xfId="5672"/>
    <cellStyle name="Note 137 12" xfId="34429"/>
    <cellStyle name="Note 137 13" xfId="34430"/>
    <cellStyle name="Note 137 14" xfId="34431"/>
    <cellStyle name="Note 137 2" xfId="5673"/>
    <cellStyle name="Note 137 2 10" xfId="5674"/>
    <cellStyle name="Note 137 2 11" xfId="34432"/>
    <cellStyle name="Note 137 2 12" xfId="34433"/>
    <cellStyle name="Note 137 2 13" xfId="34434"/>
    <cellStyle name="Note 137 2 2" xfId="5675"/>
    <cellStyle name="Note 137 2 2 2" xfId="5676"/>
    <cellStyle name="Note 137 2 2 3" xfId="5677"/>
    <cellStyle name="Note 137 2 2 4" xfId="5678"/>
    <cellStyle name="Note 137 2 2 5" xfId="5679"/>
    <cellStyle name="Note 137 2 2 6" xfId="34435"/>
    <cellStyle name="Note 137 2 2 7" xfId="34436"/>
    <cellStyle name="Note 137 2 2 8" xfId="34437"/>
    <cellStyle name="Note 137 2 3" xfId="5680"/>
    <cellStyle name="Note 137 2 3 2" xfId="5681"/>
    <cellStyle name="Note 137 2 3 3" xfId="5682"/>
    <cellStyle name="Note 137 2 3 4" xfId="5683"/>
    <cellStyle name="Note 137 2 3 5" xfId="5684"/>
    <cellStyle name="Note 137 2 3 6" xfId="34438"/>
    <cellStyle name="Note 137 2 3 7" xfId="34439"/>
    <cellStyle name="Note 137 2 3 8" xfId="34440"/>
    <cellStyle name="Note 137 2 4" xfId="5685"/>
    <cellStyle name="Note 137 2 4 2" xfId="5686"/>
    <cellStyle name="Note 137 2 4 3" xfId="5687"/>
    <cellStyle name="Note 137 2 4 4" xfId="5688"/>
    <cellStyle name="Note 137 2 4 5" xfId="5689"/>
    <cellStyle name="Note 137 2 4 6" xfId="34441"/>
    <cellStyle name="Note 137 2 4 7" xfId="34442"/>
    <cellStyle name="Note 137 2 4 8" xfId="34443"/>
    <cellStyle name="Note 137 2 5" xfId="5690"/>
    <cellStyle name="Note 137 2 5 2" xfId="5691"/>
    <cellStyle name="Note 137 2 5 3" xfId="5692"/>
    <cellStyle name="Note 137 2 5 4" xfId="5693"/>
    <cellStyle name="Note 137 2 5 5" xfId="5694"/>
    <cellStyle name="Note 137 2 5 6" xfId="34444"/>
    <cellStyle name="Note 137 2 5 7" xfId="34445"/>
    <cellStyle name="Note 137 2 5 8" xfId="34446"/>
    <cellStyle name="Note 137 2 6" xfId="5695"/>
    <cellStyle name="Note 137 2 6 2" xfId="5696"/>
    <cellStyle name="Note 137 2 6 3" xfId="5697"/>
    <cellStyle name="Note 137 2 6 4" xfId="5698"/>
    <cellStyle name="Note 137 2 6 5" xfId="5699"/>
    <cellStyle name="Note 137 2 6 6" xfId="34447"/>
    <cellStyle name="Note 137 2 6 7" xfId="34448"/>
    <cellStyle name="Note 137 2 6 8" xfId="34449"/>
    <cellStyle name="Note 137 2 7" xfId="5700"/>
    <cellStyle name="Note 137 2 8" xfId="5701"/>
    <cellStyle name="Note 137 2 9" xfId="5702"/>
    <cellStyle name="Note 137 3" xfId="5703"/>
    <cellStyle name="Note 137 3 2" xfId="5704"/>
    <cellStyle name="Note 137 3 3" xfId="5705"/>
    <cellStyle name="Note 137 3 4" xfId="5706"/>
    <cellStyle name="Note 137 3 5" xfId="5707"/>
    <cellStyle name="Note 137 3 6" xfId="34450"/>
    <cellStyle name="Note 137 3 7" xfId="34451"/>
    <cellStyle name="Note 137 3 8" xfId="34452"/>
    <cellStyle name="Note 137 4" xfId="5708"/>
    <cellStyle name="Note 137 4 2" xfId="5709"/>
    <cellStyle name="Note 137 4 3" xfId="5710"/>
    <cellStyle name="Note 137 4 4" xfId="5711"/>
    <cellStyle name="Note 137 4 5" xfId="5712"/>
    <cellStyle name="Note 137 4 6" xfId="34453"/>
    <cellStyle name="Note 137 4 7" xfId="34454"/>
    <cellStyle name="Note 137 4 8" xfId="34455"/>
    <cellStyle name="Note 137 5" xfId="5713"/>
    <cellStyle name="Note 137 5 2" xfId="5714"/>
    <cellStyle name="Note 137 5 3" xfId="5715"/>
    <cellStyle name="Note 137 5 4" xfId="5716"/>
    <cellStyle name="Note 137 5 5" xfId="5717"/>
    <cellStyle name="Note 137 5 6" xfId="34456"/>
    <cellStyle name="Note 137 5 7" xfId="34457"/>
    <cellStyle name="Note 137 5 8" xfId="34458"/>
    <cellStyle name="Note 137 6" xfId="5718"/>
    <cellStyle name="Note 137 6 2" xfId="5719"/>
    <cellStyle name="Note 137 6 3" xfId="5720"/>
    <cellStyle name="Note 137 6 4" xfId="5721"/>
    <cellStyle name="Note 137 6 5" xfId="5722"/>
    <cellStyle name="Note 137 6 6" xfId="34459"/>
    <cellStyle name="Note 137 6 7" xfId="34460"/>
    <cellStyle name="Note 137 6 8" xfId="34461"/>
    <cellStyle name="Note 137 7" xfId="5723"/>
    <cellStyle name="Note 137 7 2" xfId="5724"/>
    <cellStyle name="Note 137 7 3" xfId="5725"/>
    <cellStyle name="Note 137 7 4" xfId="5726"/>
    <cellStyle name="Note 137 7 5" xfId="5727"/>
    <cellStyle name="Note 137 7 6" xfId="34462"/>
    <cellStyle name="Note 137 7 7" xfId="34463"/>
    <cellStyle name="Note 137 7 8" xfId="34464"/>
    <cellStyle name="Note 137 8" xfId="5728"/>
    <cellStyle name="Note 137 9" xfId="5729"/>
    <cellStyle name="Note 138" xfId="5730"/>
    <cellStyle name="Note 138 10" xfId="5731"/>
    <cellStyle name="Note 138 11" xfId="5732"/>
    <cellStyle name="Note 138 12" xfId="34465"/>
    <cellStyle name="Note 138 13" xfId="34466"/>
    <cellStyle name="Note 138 14" xfId="34467"/>
    <cellStyle name="Note 138 2" xfId="5733"/>
    <cellStyle name="Note 138 2 10" xfId="5734"/>
    <cellStyle name="Note 138 2 11" xfId="34468"/>
    <cellStyle name="Note 138 2 12" xfId="34469"/>
    <cellStyle name="Note 138 2 13" xfId="34470"/>
    <cellStyle name="Note 138 2 2" xfId="5735"/>
    <cellStyle name="Note 138 2 2 2" xfId="5736"/>
    <cellStyle name="Note 138 2 2 3" xfId="5737"/>
    <cellStyle name="Note 138 2 2 4" xfId="5738"/>
    <cellStyle name="Note 138 2 2 5" xfId="5739"/>
    <cellStyle name="Note 138 2 2 6" xfId="34471"/>
    <cellStyle name="Note 138 2 2 7" xfId="34472"/>
    <cellStyle name="Note 138 2 2 8" xfId="34473"/>
    <cellStyle name="Note 138 2 3" xfId="5740"/>
    <cellStyle name="Note 138 2 3 2" xfId="5741"/>
    <cellStyle name="Note 138 2 3 3" xfId="5742"/>
    <cellStyle name="Note 138 2 3 4" xfId="5743"/>
    <cellStyle name="Note 138 2 3 5" xfId="5744"/>
    <cellStyle name="Note 138 2 3 6" xfId="34474"/>
    <cellStyle name="Note 138 2 3 7" xfId="34475"/>
    <cellStyle name="Note 138 2 3 8" xfId="34476"/>
    <cellStyle name="Note 138 2 4" xfId="5745"/>
    <cellStyle name="Note 138 2 4 2" xfId="5746"/>
    <cellStyle name="Note 138 2 4 3" xfId="5747"/>
    <cellStyle name="Note 138 2 4 4" xfId="5748"/>
    <cellStyle name="Note 138 2 4 5" xfId="5749"/>
    <cellStyle name="Note 138 2 4 6" xfId="34477"/>
    <cellStyle name="Note 138 2 4 7" xfId="34478"/>
    <cellStyle name="Note 138 2 4 8" xfId="34479"/>
    <cellStyle name="Note 138 2 5" xfId="5750"/>
    <cellStyle name="Note 138 2 5 2" xfId="5751"/>
    <cellStyle name="Note 138 2 5 3" xfId="5752"/>
    <cellStyle name="Note 138 2 5 4" xfId="5753"/>
    <cellStyle name="Note 138 2 5 5" xfId="5754"/>
    <cellStyle name="Note 138 2 5 6" xfId="34480"/>
    <cellStyle name="Note 138 2 5 7" xfId="34481"/>
    <cellStyle name="Note 138 2 5 8" xfId="34482"/>
    <cellStyle name="Note 138 2 6" xfId="5755"/>
    <cellStyle name="Note 138 2 6 2" xfId="5756"/>
    <cellStyle name="Note 138 2 6 3" xfId="5757"/>
    <cellStyle name="Note 138 2 6 4" xfId="5758"/>
    <cellStyle name="Note 138 2 6 5" xfId="5759"/>
    <cellStyle name="Note 138 2 6 6" xfId="34483"/>
    <cellStyle name="Note 138 2 6 7" xfId="34484"/>
    <cellStyle name="Note 138 2 6 8" xfId="34485"/>
    <cellStyle name="Note 138 2 7" xfId="5760"/>
    <cellStyle name="Note 138 2 8" xfId="5761"/>
    <cellStyle name="Note 138 2 9" xfId="5762"/>
    <cellStyle name="Note 138 3" xfId="5763"/>
    <cellStyle name="Note 138 3 2" xfId="5764"/>
    <cellStyle name="Note 138 3 3" xfId="5765"/>
    <cellStyle name="Note 138 3 4" xfId="5766"/>
    <cellStyle name="Note 138 3 5" xfId="5767"/>
    <cellStyle name="Note 138 3 6" xfId="34486"/>
    <cellStyle name="Note 138 3 7" xfId="34487"/>
    <cellStyle name="Note 138 3 8" xfId="34488"/>
    <cellStyle name="Note 138 4" xfId="5768"/>
    <cellStyle name="Note 138 4 2" xfId="5769"/>
    <cellStyle name="Note 138 4 3" xfId="5770"/>
    <cellStyle name="Note 138 4 4" xfId="5771"/>
    <cellStyle name="Note 138 4 5" xfId="5772"/>
    <cellStyle name="Note 138 4 6" xfId="34489"/>
    <cellStyle name="Note 138 4 7" xfId="34490"/>
    <cellStyle name="Note 138 4 8" xfId="34491"/>
    <cellStyle name="Note 138 5" xfId="5773"/>
    <cellStyle name="Note 138 5 2" xfId="5774"/>
    <cellStyle name="Note 138 5 3" xfId="5775"/>
    <cellStyle name="Note 138 5 4" xfId="5776"/>
    <cellStyle name="Note 138 5 5" xfId="5777"/>
    <cellStyle name="Note 138 5 6" xfId="34492"/>
    <cellStyle name="Note 138 5 7" xfId="34493"/>
    <cellStyle name="Note 138 5 8" xfId="34494"/>
    <cellStyle name="Note 138 6" xfId="5778"/>
    <cellStyle name="Note 138 6 2" xfId="5779"/>
    <cellStyle name="Note 138 6 3" xfId="5780"/>
    <cellStyle name="Note 138 6 4" xfId="5781"/>
    <cellStyle name="Note 138 6 5" xfId="5782"/>
    <cellStyle name="Note 138 6 6" xfId="34495"/>
    <cellStyle name="Note 138 6 7" xfId="34496"/>
    <cellStyle name="Note 138 6 8" xfId="34497"/>
    <cellStyle name="Note 138 7" xfId="5783"/>
    <cellStyle name="Note 138 7 2" xfId="5784"/>
    <cellStyle name="Note 138 7 3" xfId="5785"/>
    <cellStyle name="Note 138 7 4" xfId="5786"/>
    <cellStyle name="Note 138 7 5" xfId="5787"/>
    <cellStyle name="Note 138 7 6" xfId="34498"/>
    <cellStyle name="Note 138 7 7" xfId="34499"/>
    <cellStyle name="Note 138 7 8" xfId="34500"/>
    <cellStyle name="Note 138 8" xfId="5788"/>
    <cellStyle name="Note 138 9" xfId="5789"/>
    <cellStyle name="Note 139" xfId="5790"/>
    <cellStyle name="Note 139 10" xfId="5791"/>
    <cellStyle name="Note 139 11" xfId="5792"/>
    <cellStyle name="Note 139 12" xfId="34501"/>
    <cellStyle name="Note 139 13" xfId="34502"/>
    <cellStyle name="Note 139 14" xfId="34503"/>
    <cellStyle name="Note 139 2" xfId="5793"/>
    <cellStyle name="Note 139 2 10" xfId="5794"/>
    <cellStyle name="Note 139 2 11" xfId="34504"/>
    <cellStyle name="Note 139 2 12" xfId="34505"/>
    <cellStyle name="Note 139 2 13" xfId="34506"/>
    <cellStyle name="Note 139 2 2" xfId="5795"/>
    <cellStyle name="Note 139 2 2 2" xfId="5796"/>
    <cellStyle name="Note 139 2 2 3" xfId="5797"/>
    <cellStyle name="Note 139 2 2 4" xfId="5798"/>
    <cellStyle name="Note 139 2 2 5" xfId="5799"/>
    <cellStyle name="Note 139 2 2 6" xfId="34507"/>
    <cellStyle name="Note 139 2 2 7" xfId="34508"/>
    <cellStyle name="Note 139 2 2 8" xfId="34509"/>
    <cellStyle name="Note 139 2 3" xfId="5800"/>
    <cellStyle name="Note 139 2 3 2" xfId="5801"/>
    <cellStyle name="Note 139 2 3 3" xfId="5802"/>
    <cellStyle name="Note 139 2 3 4" xfId="5803"/>
    <cellStyle name="Note 139 2 3 5" xfId="5804"/>
    <cellStyle name="Note 139 2 3 6" xfId="34510"/>
    <cellStyle name="Note 139 2 3 7" xfId="34511"/>
    <cellStyle name="Note 139 2 3 8" xfId="34512"/>
    <cellStyle name="Note 139 2 4" xfId="5805"/>
    <cellStyle name="Note 139 2 4 2" xfId="5806"/>
    <cellStyle name="Note 139 2 4 3" xfId="5807"/>
    <cellStyle name="Note 139 2 4 4" xfId="5808"/>
    <cellStyle name="Note 139 2 4 5" xfId="5809"/>
    <cellStyle name="Note 139 2 4 6" xfId="34513"/>
    <cellStyle name="Note 139 2 4 7" xfId="34514"/>
    <cellStyle name="Note 139 2 4 8" xfId="34515"/>
    <cellStyle name="Note 139 2 5" xfId="5810"/>
    <cellStyle name="Note 139 2 5 2" xfId="5811"/>
    <cellStyle name="Note 139 2 5 3" xfId="5812"/>
    <cellStyle name="Note 139 2 5 4" xfId="5813"/>
    <cellStyle name="Note 139 2 5 5" xfId="5814"/>
    <cellStyle name="Note 139 2 5 6" xfId="34516"/>
    <cellStyle name="Note 139 2 5 7" xfId="34517"/>
    <cellStyle name="Note 139 2 5 8" xfId="34518"/>
    <cellStyle name="Note 139 2 6" xfId="5815"/>
    <cellStyle name="Note 139 2 6 2" xfId="5816"/>
    <cellStyle name="Note 139 2 6 3" xfId="5817"/>
    <cellStyle name="Note 139 2 6 4" xfId="5818"/>
    <cellStyle name="Note 139 2 6 5" xfId="5819"/>
    <cellStyle name="Note 139 2 6 6" xfId="34519"/>
    <cellStyle name="Note 139 2 6 7" xfId="34520"/>
    <cellStyle name="Note 139 2 6 8" xfId="34521"/>
    <cellStyle name="Note 139 2 7" xfId="5820"/>
    <cellStyle name="Note 139 2 8" xfId="5821"/>
    <cellStyle name="Note 139 2 9" xfId="5822"/>
    <cellStyle name="Note 139 3" xfId="5823"/>
    <cellStyle name="Note 139 3 2" xfId="5824"/>
    <cellStyle name="Note 139 3 3" xfId="5825"/>
    <cellStyle name="Note 139 3 4" xfId="5826"/>
    <cellStyle name="Note 139 3 5" xfId="5827"/>
    <cellStyle name="Note 139 3 6" xfId="34522"/>
    <cellStyle name="Note 139 3 7" xfId="34523"/>
    <cellStyle name="Note 139 3 8" xfId="34524"/>
    <cellStyle name="Note 139 4" xfId="5828"/>
    <cellStyle name="Note 139 4 2" xfId="5829"/>
    <cellStyle name="Note 139 4 3" xfId="5830"/>
    <cellStyle name="Note 139 4 4" xfId="5831"/>
    <cellStyle name="Note 139 4 5" xfId="5832"/>
    <cellStyle name="Note 139 4 6" xfId="34525"/>
    <cellStyle name="Note 139 4 7" xfId="34526"/>
    <cellStyle name="Note 139 4 8" xfId="34527"/>
    <cellStyle name="Note 139 5" xfId="5833"/>
    <cellStyle name="Note 139 5 2" xfId="5834"/>
    <cellStyle name="Note 139 5 3" xfId="5835"/>
    <cellStyle name="Note 139 5 4" xfId="5836"/>
    <cellStyle name="Note 139 5 5" xfId="5837"/>
    <cellStyle name="Note 139 5 6" xfId="34528"/>
    <cellStyle name="Note 139 5 7" xfId="34529"/>
    <cellStyle name="Note 139 5 8" xfId="34530"/>
    <cellStyle name="Note 139 6" xfId="5838"/>
    <cellStyle name="Note 139 6 2" xfId="5839"/>
    <cellStyle name="Note 139 6 3" xfId="5840"/>
    <cellStyle name="Note 139 6 4" xfId="5841"/>
    <cellStyle name="Note 139 6 5" xfId="5842"/>
    <cellStyle name="Note 139 6 6" xfId="34531"/>
    <cellStyle name="Note 139 6 7" xfId="34532"/>
    <cellStyle name="Note 139 6 8" xfId="34533"/>
    <cellStyle name="Note 139 7" xfId="5843"/>
    <cellStyle name="Note 139 7 2" xfId="5844"/>
    <cellStyle name="Note 139 7 3" xfId="5845"/>
    <cellStyle name="Note 139 7 4" xfId="5846"/>
    <cellStyle name="Note 139 7 5" xfId="5847"/>
    <cellStyle name="Note 139 7 6" xfId="34534"/>
    <cellStyle name="Note 139 7 7" xfId="34535"/>
    <cellStyle name="Note 139 7 8" xfId="34536"/>
    <cellStyle name="Note 139 8" xfId="5848"/>
    <cellStyle name="Note 139 9" xfId="5849"/>
    <cellStyle name="Note 14" xfId="5850"/>
    <cellStyle name="Note 14 10" xfId="5851"/>
    <cellStyle name="Note 14 11" xfId="34537"/>
    <cellStyle name="Note 14 12" xfId="34538"/>
    <cellStyle name="Note 14 13" xfId="34539"/>
    <cellStyle name="Note 14 2" xfId="5852"/>
    <cellStyle name="Note 14 2 2" xfId="5853"/>
    <cellStyle name="Note 14 2 3" xfId="5854"/>
    <cellStyle name="Note 14 2 4" xfId="5855"/>
    <cellStyle name="Note 14 2 5" xfId="5856"/>
    <cellStyle name="Note 14 2 6" xfId="34540"/>
    <cellStyle name="Note 14 2 7" xfId="34541"/>
    <cellStyle name="Note 14 2 8" xfId="34542"/>
    <cellStyle name="Note 14 3" xfId="5857"/>
    <cellStyle name="Note 14 3 2" xfId="5858"/>
    <cellStyle name="Note 14 3 3" xfId="5859"/>
    <cellStyle name="Note 14 3 4" xfId="5860"/>
    <cellStyle name="Note 14 3 5" xfId="5861"/>
    <cellStyle name="Note 14 3 6" xfId="34543"/>
    <cellStyle name="Note 14 3 7" xfId="34544"/>
    <cellStyle name="Note 14 3 8" xfId="34545"/>
    <cellStyle name="Note 14 4" xfId="5862"/>
    <cellStyle name="Note 14 4 2" xfId="5863"/>
    <cellStyle name="Note 14 4 3" xfId="5864"/>
    <cellStyle name="Note 14 4 4" xfId="5865"/>
    <cellStyle name="Note 14 4 5" xfId="5866"/>
    <cellStyle name="Note 14 4 6" xfId="34546"/>
    <cellStyle name="Note 14 4 7" xfId="34547"/>
    <cellStyle name="Note 14 4 8" xfId="34548"/>
    <cellStyle name="Note 14 5" xfId="5867"/>
    <cellStyle name="Note 14 5 2" xfId="5868"/>
    <cellStyle name="Note 14 5 3" xfId="5869"/>
    <cellStyle name="Note 14 5 4" xfId="5870"/>
    <cellStyle name="Note 14 5 5" xfId="5871"/>
    <cellStyle name="Note 14 5 6" xfId="34549"/>
    <cellStyle name="Note 14 5 7" xfId="34550"/>
    <cellStyle name="Note 14 5 8" xfId="34551"/>
    <cellStyle name="Note 14 6" xfId="5872"/>
    <cellStyle name="Note 14 6 2" xfId="5873"/>
    <cellStyle name="Note 14 6 3" xfId="5874"/>
    <cellStyle name="Note 14 6 4" xfId="5875"/>
    <cellStyle name="Note 14 6 5" xfId="5876"/>
    <cellStyle name="Note 14 6 6" xfId="34552"/>
    <cellStyle name="Note 14 6 7" xfId="34553"/>
    <cellStyle name="Note 14 6 8" xfId="34554"/>
    <cellStyle name="Note 14 7" xfId="5877"/>
    <cellStyle name="Note 14 8" xfId="5878"/>
    <cellStyle name="Note 14 9" xfId="5879"/>
    <cellStyle name="Note 140" xfId="5880"/>
    <cellStyle name="Note 140 10" xfId="5881"/>
    <cellStyle name="Note 140 11" xfId="5882"/>
    <cellStyle name="Note 140 12" xfId="34555"/>
    <cellStyle name="Note 140 13" xfId="34556"/>
    <cellStyle name="Note 140 14" xfId="34557"/>
    <cellStyle name="Note 140 2" xfId="5883"/>
    <cellStyle name="Note 140 2 10" xfId="5884"/>
    <cellStyle name="Note 140 2 11" xfId="34558"/>
    <cellStyle name="Note 140 2 12" xfId="34559"/>
    <cellStyle name="Note 140 2 13" xfId="34560"/>
    <cellStyle name="Note 140 2 2" xfId="5885"/>
    <cellStyle name="Note 140 2 2 2" xfId="5886"/>
    <cellStyle name="Note 140 2 2 3" xfId="5887"/>
    <cellStyle name="Note 140 2 2 4" xfId="5888"/>
    <cellStyle name="Note 140 2 2 5" xfId="5889"/>
    <cellStyle name="Note 140 2 2 6" xfId="34561"/>
    <cellStyle name="Note 140 2 2 7" xfId="34562"/>
    <cellStyle name="Note 140 2 2 8" xfId="34563"/>
    <cellStyle name="Note 140 2 3" xfId="5890"/>
    <cellStyle name="Note 140 2 3 2" xfId="5891"/>
    <cellStyle name="Note 140 2 3 3" xfId="5892"/>
    <cellStyle name="Note 140 2 3 4" xfId="5893"/>
    <cellStyle name="Note 140 2 3 5" xfId="5894"/>
    <cellStyle name="Note 140 2 3 6" xfId="34564"/>
    <cellStyle name="Note 140 2 3 7" xfId="34565"/>
    <cellStyle name="Note 140 2 3 8" xfId="34566"/>
    <cellStyle name="Note 140 2 4" xfId="5895"/>
    <cellStyle name="Note 140 2 4 2" xfId="5896"/>
    <cellStyle name="Note 140 2 4 3" xfId="5897"/>
    <cellStyle name="Note 140 2 4 4" xfId="5898"/>
    <cellStyle name="Note 140 2 4 5" xfId="5899"/>
    <cellStyle name="Note 140 2 4 6" xfId="34567"/>
    <cellStyle name="Note 140 2 4 7" xfId="34568"/>
    <cellStyle name="Note 140 2 4 8" xfId="34569"/>
    <cellStyle name="Note 140 2 5" xfId="5900"/>
    <cellStyle name="Note 140 2 5 2" xfId="5901"/>
    <cellStyle name="Note 140 2 5 3" xfId="5902"/>
    <cellStyle name="Note 140 2 5 4" xfId="5903"/>
    <cellStyle name="Note 140 2 5 5" xfId="5904"/>
    <cellStyle name="Note 140 2 5 6" xfId="34570"/>
    <cellStyle name="Note 140 2 5 7" xfId="34571"/>
    <cellStyle name="Note 140 2 5 8" xfId="34572"/>
    <cellStyle name="Note 140 2 6" xfId="5905"/>
    <cellStyle name="Note 140 2 6 2" xfId="5906"/>
    <cellStyle name="Note 140 2 6 3" xfId="5907"/>
    <cellStyle name="Note 140 2 6 4" xfId="5908"/>
    <cellStyle name="Note 140 2 6 5" xfId="5909"/>
    <cellStyle name="Note 140 2 6 6" xfId="34573"/>
    <cellStyle name="Note 140 2 6 7" xfId="34574"/>
    <cellStyle name="Note 140 2 6 8" xfId="34575"/>
    <cellStyle name="Note 140 2 7" xfId="5910"/>
    <cellStyle name="Note 140 2 8" xfId="5911"/>
    <cellStyle name="Note 140 2 9" xfId="5912"/>
    <cellStyle name="Note 140 3" xfId="5913"/>
    <cellStyle name="Note 140 3 2" xfId="5914"/>
    <cellStyle name="Note 140 3 3" xfId="5915"/>
    <cellStyle name="Note 140 3 4" xfId="5916"/>
    <cellStyle name="Note 140 3 5" xfId="5917"/>
    <cellStyle name="Note 140 3 6" xfId="34576"/>
    <cellStyle name="Note 140 3 7" xfId="34577"/>
    <cellStyle name="Note 140 3 8" xfId="34578"/>
    <cellStyle name="Note 140 4" xfId="5918"/>
    <cellStyle name="Note 140 4 2" xfId="5919"/>
    <cellStyle name="Note 140 4 3" xfId="5920"/>
    <cellStyle name="Note 140 4 4" xfId="5921"/>
    <cellStyle name="Note 140 4 5" xfId="5922"/>
    <cellStyle name="Note 140 4 6" xfId="34579"/>
    <cellStyle name="Note 140 4 7" xfId="34580"/>
    <cellStyle name="Note 140 4 8" xfId="34581"/>
    <cellStyle name="Note 140 5" xfId="5923"/>
    <cellStyle name="Note 140 5 2" xfId="5924"/>
    <cellStyle name="Note 140 5 3" xfId="5925"/>
    <cellStyle name="Note 140 5 4" xfId="5926"/>
    <cellStyle name="Note 140 5 5" xfId="5927"/>
    <cellStyle name="Note 140 5 6" xfId="34582"/>
    <cellStyle name="Note 140 5 7" xfId="34583"/>
    <cellStyle name="Note 140 5 8" xfId="34584"/>
    <cellStyle name="Note 140 6" xfId="5928"/>
    <cellStyle name="Note 140 6 2" xfId="5929"/>
    <cellStyle name="Note 140 6 3" xfId="5930"/>
    <cellStyle name="Note 140 6 4" xfId="5931"/>
    <cellStyle name="Note 140 6 5" xfId="5932"/>
    <cellStyle name="Note 140 6 6" xfId="34585"/>
    <cellStyle name="Note 140 6 7" xfId="34586"/>
    <cellStyle name="Note 140 6 8" xfId="34587"/>
    <cellStyle name="Note 140 7" xfId="5933"/>
    <cellStyle name="Note 140 7 2" xfId="5934"/>
    <cellStyle name="Note 140 7 3" xfId="5935"/>
    <cellStyle name="Note 140 7 4" xfId="5936"/>
    <cellStyle name="Note 140 7 5" xfId="5937"/>
    <cellStyle name="Note 140 7 6" xfId="34588"/>
    <cellStyle name="Note 140 7 7" xfId="34589"/>
    <cellStyle name="Note 140 7 8" xfId="34590"/>
    <cellStyle name="Note 140 8" xfId="5938"/>
    <cellStyle name="Note 140 9" xfId="5939"/>
    <cellStyle name="Note 141" xfId="5940"/>
    <cellStyle name="Note 141 10" xfId="5941"/>
    <cellStyle name="Note 141 11" xfId="5942"/>
    <cellStyle name="Note 141 12" xfId="34591"/>
    <cellStyle name="Note 141 13" xfId="34592"/>
    <cellStyle name="Note 141 14" xfId="34593"/>
    <cellStyle name="Note 141 2" xfId="5943"/>
    <cellStyle name="Note 141 2 10" xfId="5944"/>
    <cellStyle name="Note 141 2 11" xfId="34594"/>
    <cellStyle name="Note 141 2 12" xfId="34595"/>
    <cellStyle name="Note 141 2 13" xfId="34596"/>
    <cellStyle name="Note 141 2 2" xfId="5945"/>
    <cellStyle name="Note 141 2 2 2" xfId="5946"/>
    <cellStyle name="Note 141 2 2 3" xfId="5947"/>
    <cellStyle name="Note 141 2 2 4" xfId="5948"/>
    <cellStyle name="Note 141 2 2 5" xfId="5949"/>
    <cellStyle name="Note 141 2 2 6" xfId="34597"/>
    <cellStyle name="Note 141 2 2 7" xfId="34598"/>
    <cellStyle name="Note 141 2 2 8" xfId="34599"/>
    <cellStyle name="Note 141 2 3" xfId="5950"/>
    <cellStyle name="Note 141 2 3 2" xfId="5951"/>
    <cellStyle name="Note 141 2 3 3" xfId="5952"/>
    <cellStyle name="Note 141 2 3 4" xfId="5953"/>
    <cellStyle name="Note 141 2 3 5" xfId="5954"/>
    <cellStyle name="Note 141 2 3 6" xfId="34600"/>
    <cellStyle name="Note 141 2 3 7" xfId="34601"/>
    <cellStyle name="Note 141 2 3 8" xfId="34602"/>
    <cellStyle name="Note 141 2 4" xfId="5955"/>
    <cellStyle name="Note 141 2 4 2" xfId="5956"/>
    <cellStyle name="Note 141 2 4 3" xfId="5957"/>
    <cellStyle name="Note 141 2 4 4" xfId="5958"/>
    <cellStyle name="Note 141 2 4 5" xfId="5959"/>
    <cellStyle name="Note 141 2 4 6" xfId="34603"/>
    <cellStyle name="Note 141 2 4 7" xfId="34604"/>
    <cellStyle name="Note 141 2 4 8" xfId="34605"/>
    <cellStyle name="Note 141 2 5" xfId="5960"/>
    <cellStyle name="Note 141 2 5 2" xfId="5961"/>
    <cellStyle name="Note 141 2 5 3" xfId="5962"/>
    <cellStyle name="Note 141 2 5 4" xfId="5963"/>
    <cellStyle name="Note 141 2 5 5" xfId="5964"/>
    <cellStyle name="Note 141 2 5 6" xfId="34606"/>
    <cellStyle name="Note 141 2 5 7" xfId="34607"/>
    <cellStyle name="Note 141 2 5 8" xfId="34608"/>
    <cellStyle name="Note 141 2 6" xfId="5965"/>
    <cellStyle name="Note 141 2 6 2" xfId="5966"/>
    <cellStyle name="Note 141 2 6 3" xfId="5967"/>
    <cellStyle name="Note 141 2 6 4" xfId="5968"/>
    <cellStyle name="Note 141 2 6 5" xfId="5969"/>
    <cellStyle name="Note 141 2 6 6" xfId="34609"/>
    <cellStyle name="Note 141 2 6 7" xfId="34610"/>
    <cellStyle name="Note 141 2 6 8" xfId="34611"/>
    <cellStyle name="Note 141 2 7" xfId="5970"/>
    <cellStyle name="Note 141 2 8" xfId="5971"/>
    <cellStyle name="Note 141 2 9" xfId="5972"/>
    <cellStyle name="Note 141 3" xfId="5973"/>
    <cellStyle name="Note 141 3 2" xfId="5974"/>
    <cellStyle name="Note 141 3 3" xfId="5975"/>
    <cellStyle name="Note 141 3 4" xfId="5976"/>
    <cellStyle name="Note 141 3 5" xfId="5977"/>
    <cellStyle name="Note 141 3 6" xfId="34612"/>
    <cellStyle name="Note 141 3 7" xfId="34613"/>
    <cellStyle name="Note 141 3 8" xfId="34614"/>
    <cellStyle name="Note 141 4" xfId="5978"/>
    <cellStyle name="Note 141 4 2" xfId="5979"/>
    <cellStyle name="Note 141 4 3" xfId="5980"/>
    <cellStyle name="Note 141 4 4" xfId="5981"/>
    <cellStyle name="Note 141 4 5" xfId="5982"/>
    <cellStyle name="Note 141 4 6" xfId="34615"/>
    <cellStyle name="Note 141 4 7" xfId="34616"/>
    <cellStyle name="Note 141 4 8" xfId="34617"/>
    <cellStyle name="Note 141 5" xfId="5983"/>
    <cellStyle name="Note 141 5 2" xfId="5984"/>
    <cellStyle name="Note 141 5 3" xfId="5985"/>
    <cellStyle name="Note 141 5 4" xfId="5986"/>
    <cellStyle name="Note 141 5 5" xfId="5987"/>
    <cellStyle name="Note 141 5 6" xfId="34618"/>
    <cellStyle name="Note 141 5 7" xfId="34619"/>
    <cellStyle name="Note 141 5 8" xfId="34620"/>
    <cellStyle name="Note 141 6" xfId="5988"/>
    <cellStyle name="Note 141 6 2" xfId="5989"/>
    <cellStyle name="Note 141 6 3" xfId="5990"/>
    <cellStyle name="Note 141 6 4" xfId="5991"/>
    <cellStyle name="Note 141 6 5" xfId="5992"/>
    <cellStyle name="Note 141 6 6" xfId="34621"/>
    <cellStyle name="Note 141 6 7" xfId="34622"/>
    <cellStyle name="Note 141 6 8" xfId="34623"/>
    <cellStyle name="Note 141 7" xfId="5993"/>
    <cellStyle name="Note 141 7 2" xfId="5994"/>
    <cellStyle name="Note 141 7 3" xfId="5995"/>
    <cellStyle name="Note 141 7 4" xfId="5996"/>
    <cellStyle name="Note 141 7 5" xfId="5997"/>
    <cellStyle name="Note 141 7 6" xfId="34624"/>
    <cellStyle name="Note 141 7 7" xfId="34625"/>
    <cellStyle name="Note 141 7 8" xfId="34626"/>
    <cellStyle name="Note 141 8" xfId="5998"/>
    <cellStyle name="Note 141 9" xfId="5999"/>
    <cellStyle name="Note 142" xfId="6000"/>
    <cellStyle name="Note 142 10" xfId="6001"/>
    <cellStyle name="Note 142 11" xfId="6002"/>
    <cellStyle name="Note 142 12" xfId="34627"/>
    <cellStyle name="Note 142 13" xfId="34628"/>
    <cellStyle name="Note 142 14" xfId="34629"/>
    <cellStyle name="Note 142 2" xfId="6003"/>
    <cellStyle name="Note 142 2 10" xfId="6004"/>
    <cellStyle name="Note 142 2 11" xfId="34630"/>
    <cellStyle name="Note 142 2 12" xfId="34631"/>
    <cellStyle name="Note 142 2 13" xfId="34632"/>
    <cellStyle name="Note 142 2 2" xfId="6005"/>
    <cellStyle name="Note 142 2 2 2" xfId="6006"/>
    <cellStyle name="Note 142 2 2 3" xfId="6007"/>
    <cellStyle name="Note 142 2 2 4" xfId="6008"/>
    <cellStyle name="Note 142 2 2 5" xfId="6009"/>
    <cellStyle name="Note 142 2 2 6" xfId="34633"/>
    <cellStyle name="Note 142 2 2 7" xfId="34634"/>
    <cellStyle name="Note 142 2 2 8" xfId="34635"/>
    <cellStyle name="Note 142 2 3" xfId="6010"/>
    <cellStyle name="Note 142 2 3 2" xfId="6011"/>
    <cellStyle name="Note 142 2 3 3" xfId="6012"/>
    <cellStyle name="Note 142 2 3 4" xfId="6013"/>
    <cellStyle name="Note 142 2 3 5" xfId="6014"/>
    <cellStyle name="Note 142 2 3 6" xfId="34636"/>
    <cellStyle name="Note 142 2 3 7" xfId="34637"/>
    <cellStyle name="Note 142 2 3 8" xfId="34638"/>
    <cellStyle name="Note 142 2 4" xfId="6015"/>
    <cellStyle name="Note 142 2 4 2" xfId="6016"/>
    <cellStyle name="Note 142 2 4 3" xfId="6017"/>
    <cellStyle name="Note 142 2 4 4" xfId="6018"/>
    <cellStyle name="Note 142 2 4 5" xfId="6019"/>
    <cellStyle name="Note 142 2 4 6" xfId="34639"/>
    <cellStyle name="Note 142 2 4 7" xfId="34640"/>
    <cellStyle name="Note 142 2 4 8" xfId="34641"/>
    <cellStyle name="Note 142 2 5" xfId="6020"/>
    <cellStyle name="Note 142 2 5 2" xfId="6021"/>
    <cellStyle name="Note 142 2 5 3" xfId="6022"/>
    <cellStyle name="Note 142 2 5 4" xfId="6023"/>
    <cellStyle name="Note 142 2 5 5" xfId="6024"/>
    <cellStyle name="Note 142 2 5 6" xfId="34642"/>
    <cellStyle name="Note 142 2 5 7" xfId="34643"/>
    <cellStyle name="Note 142 2 5 8" xfId="34644"/>
    <cellStyle name="Note 142 2 6" xfId="6025"/>
    <cellStyle name="Note 142 2 6 2" xfId="6026"/>
    <cellStyle name="Note 142 2 6 3" xfId="6027"/>
    <cellStyle name="Note 142 2 6 4" xfId="6028"/>
    <cellStyle name="Note 142 2 6 5" xfId="6029"/>
    <cellStyle name="Note 142 2 6 6" xfId="34645"/>
    <cellStyle name="Note 142 2 6 7" xfId="34646"/>
    <cellStyle name="Note 142 2 6 8" xfId="34647"/>
    <cellStyle name="Note 142 2 7" xfId="6030"/>
    <cellStyle name="Note 142 2 8" xfId="6031"/>
    <cellStyle name="Note 142 2 9" xfId="6032"/>
    <cellStyle name="Note 142 3" xfId="6033"/>
    <cellStyle name="Note 142 3 2" xfId="6034"/>
    <cellStyle name="Note 142 3 3" xfId="6035"/>
    <cellStyle name="Note 142 3 4" xfId="6036"/>
    <cellStyle name="Note 142 3 5" xfId="6037"/>
    <cellStyle name="Note 142 3 6" xfId="34648"/>
    <cellStyle name="Note 142 3 7" xfId="34649"/>
    <cellStyle name="Note 142 3 8" xfId="34650"/>
    <cellStyle name="Note 142 4" xfId="6038"/>
    <cellStyle name="Note 142 4 2" xfId="6039"/>
    <cellStyle name="Note 142 4 3" xfId="6040"/>
    <cellStyle name="Note 142 4 4" xfId="6041"/>
    <cellStyle name="Note 142 4 5" xfId="6042"/>
    <cellStyle name="Note 142 4 6" xfId="34651"/>
    <cellStyle name="Note 142 4 7" xfId="34652"/>
    <cellStyle name="Note 142 4 8" xfId="34653"/>
    <cellStyle name="Note 142 5" xfId="6043"/>
    <cellStyle name="Note 142 5 2" xfId="6044"/>
    <cellStyle name="Note 142 5 3" xfId="6045"/>
    <cellStyle name="Note 142 5 4" xfId="6046"/>
    <cellStyle name="Note 142 5 5" xfId="6047"/>
    <cellStyle name="Note 142 5 6" xfId="34654"/>
    <cellStyle name="Note 142 5 7" xfId="34655"/>
    <cellStyle name="Note 142 5 8" xfId="34656"/>
    <cellStyle name="Note 142 6" xfId="6048"/>
    <cellStyle name="Note 142 6 2" xfId="6049"/>
    <cellStyle name="Note 142 6 3" xfId="6050"/>
    <cellStyle name="Note 142 6 4" xfId="6051"/>
    <cellStyle name="Note 142 6 5" xfId="6052"/>
    <cellStyle name="Note 142 6 6" xfId="34657"/>
    <cellStyle name="Note 142 6 7" xfId="34658"/>
    <cellStyle name="Note 142 6 8" xfId="34659"/>
    <cellStyle name="Note 142 7" xfId="6053"/>
    <cellStyle name="Note 142 7 2" xfId="6054"/>
    <cellStyle name="Note 142 7 3" xfId="6055"/>
    <cellStyle name="Note 142 7 4" xfId="6056"/>
    <cellStyle name="Note 142 7 5" xfId="6057"/>
    <cellStyle name="Note 142 7 6" xfId="34660"/>
    <cellStyle name="Note 142 7 7" xfId="34661"/>
    <cellStyle name="Note 142 7 8" xfId="34662"/>
    <cellStyle name="Note 142 8" xfId="6058"/>
    <cellStyle name="Note 142 9" xfId="6059"/>
    <cellStyle name="Note 143" xfId="6060"/>
    <cellStyle name="Note 143 10" xfId="6061"/>
    <cellStyle name="Note 143 11" xfId="6062"/>
    <cellStyle name="Note 143 12" xfId="34663"/>
    <cellStyle name="Note 143 13" xfId="34664"/>
    <cellStyle name="Note 143 14" xfId="34665"/>
    <cellStyle name="Note 143 2" xfId="6063"/>
    <cellStyle name="Note 143 2 10" xfId="6064"/>
    <cellStyle name="Note 143 2 11" xfId="34666"/>
    <cellStyle name="Note 143 2 12" xfId="34667"/>
    <cellStyle name="Note 143 2 13" xfId="34668"/>
    <cellStyle name="Note 143 2 2" xfId="6065"/>
    <cellStyle name="Note 143 2 2 2" xfId="6066"/>
    <cellStyle name="Note 143 2 2 3" xfId="6067"/>
    <cellStyle name="Note 143 2 2 4" xfId="6068"/>
    <cellStyle name="Note 143 2 2 5" xfId="6069"/>
    <cellStyle name="Note 143 2 2 6" xfId="34669"/>
    <cellStyle name="Note 143 2 2 7" xfId="34670"/>
    <cellStyle name="Note 143 2 2 8" xfId="34671"/>
    <cellStyle name="Note 143 2 3" xfId="6070"/>
    <cellStyle name="Note 143 2 3 2" xfId="6071"/>
    <cellStyle name="Note 143 2 3 3" xfId="6072"/>
    <cellStyle name="Note 143 2 3 4" xfId="6073"/>
    <cellStyle name="Note 143 2 3 5" xfId="6074"/>
    <cellStyle name="Note 143 2 3 6" xfId="34672"/>
    <cellStyle name="Note 143 2 3 7" xfId="34673"/>
    <cellStyle name="Note 143 2 3 8" xfId="34674"/>
    <cellStyle name="Note 143 2 4" xfId="6075"/>
    <cellStyle name="Note 143 2 4 2" xfId="6076"/>
    <cellStyle name="Note 143 2 4 3" xfId="6077"/>
    <cellStyle name="Note 143 2 4 4" xfId="6078"/>
    <cellStyle name="Note 143 2 4 5" xfId="6079"/>
    <cellStyle name="Note 143 2 4 6" xfId="34675"/>
    <cellStyle name="Note 143 2 4 7" xfId="34676"/>
    <cellStyle name="Note 143 2 4 8" xfId="34677"/>
    <cellStyle name="Note 143 2 5" xfId="6080"/>
    <cellStyle name="Note 143 2 5 2" xfId="6081"/>
    <cellStyle name="Note 143 2 5 3" xfId="6082"/>
    <cellStyle name="Note 143 2 5 4" xfId="6083"/>
    <cellStyle name="Note 143 2 5 5" xfId="6084"/>
    <cellStyle name="Note 143 2 5 6" xfId="34678"/>
    <cellStyle name="Note 143 2 5 7" xfId="34679"/>
    <cellStyle name="Note 143 2 5 8" xfId="34680"/>
    <cellStyle name="Note 143 2 6" xfId="6085"/>
    <cellStyle name="Note 143 2 6 2" xfId="6086"/>
    <cellStyle name="Note 143 2 6 3" xfId="6087"/>
    <cellStyle name="Note 143 2 6 4" xfId="6088"/>
    <cellStyle name="Note 143 2 6 5" xfId="6089"/>
    <cellStyle name="Note 143 2 6 6" xfId="34681"/>
    <cellStyle name="Note 143 2 6 7" xfId="34682"/>
    <cellStyle name="Note 143 2 6 8" xfId="34683"/>
    <cellStyle name="Note 143 2 7" xfId="6090"/>
    <cellStyle name="Note 143 2 8" xfId="6091"/>
    <cellStyle name="Note 143 2 9" xfId="6092"/>
    <cellStyle name="Note 143 3" xfId="6093"/>
    <cellStyle name="Note 143 3 2" xfId="6094"/>
    <cellStyle name="Note 143 3 3" xfId="6095"/>
    <cellStyle name="Note 143 3 4" xfId="6096"/>
    <cellStyle name="Note 143 3 5" xfId="6097"/>
    <cellStyle name="Note 143 3 6" xfId="34684"/>
    <cellStyle name="Note 143 3 7" xfId="34685"/>
    <cellStyle name="Note 143 3 8" xfId="34686"/>
    <cellStyle name="Note 143 4" xfId="6098"/>
    <cellStyle name="Note 143 4 2" xfId="6099"/>
    <cellStyle name="Note 143 4 3" xfId="6100"/>
    <cellStyle name="Note 143 4 4" xfId="6101"/>
    <cellStyle name="Note 143 4 5" xfId="6102"/>
    <cellStyle name="Note 143 4 6" xfId="34687"/>
    <cellStyle name="Note 143 4 7" xfId="34688"/>
    <cellStyle name="Note 143 4 8" xfId="34689"/>
    <cellStyle name="Note 143 5" xfId="6103"/>
    <cellStyle name="Note 143 5 2" xfId="6104"/>
    <cellStyle name="Note 143 5 3" xfId="6105"/>
    <cellStyle name="Note 143 5 4" xfId="6106"/>
    <cellStyle name="Note 143 5 5" xfId="6107"/>
    <cellStyle name="Note 143 5 6" xfId="34690"/>
    <cellStyle name="Note 143 5 7" xfId="34691"/>
    <cellStyle name="Note 143 5 8" xfId="34692"/>
    <cellStyle name="Note 143 6" xfId="6108"/>
    <cellStyle name="Note 143 6 2" xfId="6109"/>
    <cellStyle name="Note 143 6 3" xfId="6110"/>
    <cellStyle name="Note 143 6 4" xfId="6111"/>
    <cellStyle name="Note 143 6 5" xfId="6112"/>
    <cellStyle name="Note 143 6 6" xfId="34693"/>
    <cellStyle name="Note 143 6 7" xfId="34694"/>
    <cellStyle name="Note 143 6 8" xfId="34695"/>
    <cellStyle name="Note 143 7" xfId="6113"/>
    <cellStyle name="Note 143 7 2" xfId="6114"/>
    <cellStyle name="Note 143 7 3" xfId="6115"/>
    <cellStyle name="Note 143 7 4" xfId="6116"/>
    <cellStyle name="Note 143 7 5" xfId="6117"/>
    <cellStyle name="Note 143 7 6" xfId="34696"/>
    <cellStyle name="Note 143 7 7" xfId="34697"/>
    <cellStyle name="Note 143 7 8" xfId="34698"/>
    <cellStyle name="Note 143 8" xfId="6118"/>
    <cellStyle name="Note 143 9" xfId="6119"/>
    <cellStyle name="Note 144" xfId="6120"/>
    <cellStyle name="Note 144 10" xfId="6121"/>
    <cellStyle name="Note 144 11" xfId="6122"/>
    <cellStyle name="Note 144 12" xfId="34699"/>
    <cellStyle name="Note 144 13" xfId="34700"/>
    <cellStyle name="Note 144 14" xfId="34701"/>
    <cellStyle name="Note 144 2" xfId="6123"/>
    <cellStyle name="Note 144 2 10" xfId="6124"/>
    <cellStyle name="Note 144 2 11" xfId="34702"/>
    <cellStyle name="Note 144 2 12" xfId="34703"/>
    <cellStyle name="Note 144 2 13" xfId="34704"/>
    <cellStyle name="Note 144 2 2" xfId="6125"/>
    <cellStyle name="Note 144 2 2 2" xfId="6126"/>
    <cellStyle name="Note 144 2 2 3" xfId="6127"/>
    <cellStyle name="Note 144 2 2 4" xfId="6128"/>
    <cellStyle name="Note 144 2 2 5" xfId="6129"/>
    <cellStyle name="Note 144 2 2 6" xfId="34705"/>
    <cellStyle name="Note 144 2 2 7" xfId="34706"/>
    <cellStyle name="Note 144 2 2 8" xfId="34707"/>
    <cellStyle name="Note 144 2 3" xfId="6130"/>
    <cellStyle name="Note 144 2 3 2" xfId="6131"/>
    <cellStyle name="Note 144 2 3 3" xfId="6132"/>
    <cellStyle name="Note 144 2 3 4" xfId="6133"/>
    <cellStyle name="Note 144 2 3 5" xfId="6134"/>
    <cellStyle name="Note 144 2 3 6" xfId="34708"/>
    <cellStyle name="Note 144 2 3 7" xfId="34709"/>
    <cellStyle name="Note 144 2 3 8" xfId="34710"/>
    <cellStyle name="Note 144 2 4" xfId="6135"/>
    <cellStyle name="Note 144 2 4 2" xfId="6136"/>
    <cellStyle name="Note 144 2 4 3" xfId="6137"/>
    <cellStyle name="Note 144 2 4 4" xfId="6138"/>
    <cellStyle name="Note 144 2 4 5" xfId="6139"/>
    <cellStyle name="Note 144 2 4 6" xfId="34711"/>
    <cellStyle name="Note 144 2 4 7" xfId="34712"/>
    <cellStyle name="Note 144 2 4 8" xfId="34713"/>
    <cellStyle name="Note 144 2 5" xfId="6140"/>
    <cellStyle name="Note 144 2 5 2" xfId="6141"/>
    <cellStyle name="Note 144 2 5 3" xfId="6142"/>
    <cellStyle name="Note 144 2 5 4" xfId="6143"/>
    <cellStyle name="Note 144 2 5 5" xfId="6144"/>
    <cellStyle name="Note 144 2 5 6" xfId="34714"/>
    <cellStyle name="Note 144 2 5 7" xfId="34715"/>
    <cellStyle name="Note 144 2 5 8" xfId="34716"/>
    <cellStyle name="Note 144 2 6" xfId="6145"/>
    <cellStyle name="Note 144 2 6 2" xfId="6146"/>
    <cellStyle name="Note 144 2 6 3" xfId="6147"/>
    <cellStyle name="Note 144 2 6 4" xfId="6148"/>
    <cellStyle name="Note 144 2 6 5" xfId="6149"/>
    <cellStyle name="Note 144 2 6 6" xfId="34717"/>
    <cellStyle name="Note 144 2 6 7" xfId="34718"/>
    <cellStyle name="Note 144 2 6 8" xfId="34719"/>
    <cellStyle name="Note 144 2 7" xfId="6150"/>
    <cellStyle name="Note 144 2 8" xfId="6151"/>
    <cellStyle name="Note 144 2 9" xfId="6152"/>
    <cellStyle name="Note 144 3" xfId="6153"/>
    <cellStyle name="Note 144 3 2" xfId="6154"/>
    <cellStyle name="Note 144 3 3" xfId="6155"/>
    <cellStyle name="Note 144 3 4" xfId="6156"/>
    <cellStyle name="Note 144 3 5" xfId="6157"/>
    <cellStyle name="Note 144 3 6" xfId="34720"/>
    <cellStyle name="Note 144 3 7" xfId="34721"/>
    <cellStyle name="Note 144 3 8" xfId="34722"/>
    <cellStyle name="Note 144 4" xfId="6158"/>
    <cellStyle name="Note 144 4 2" xfId="6159"/>
    <cellStyle name="Note 144 4 3" xfId="6160"/>
    <cellStyle name="Note 144 4 4" xfId="6161"/>
    <cellStyle name="Note 144 4 5" xfId="6162"/>
    <cellStyle name="Note 144 4 6" xfId="34723"/>
    <cellStyle name="Note 144 4 7" xfId="34724"/>
    <cellStyle name="Note 144 4 8" xfId="34725"/>
    <cellStyle name="Note 144 5" xfId="6163"/>
    <cellStyle name="Note 144 5 2" xfId="6164"/>
    <cellStyle name="Note 144 5 3" xfId="6165"/>
    <cellStyle name="Note 144 5 4" xfId="6166"/>
    <cellStyle name="Note 144 5 5" xfId="6167"/>
    <cellStyle name="Note 144 5 6" xfId="34726"/>
    <cellStyle name="Note 144 5 7" xfId="34727"/>
    <cellStyle name="Note 144 5 8" xfId="34728"/>
    <cellStyle name="Note 144 6" xfId="6168"/>
    <cellStyle name="Note 144 6 2" xfId="6169"/>
    <cellStyle name="Note 144 6 3" xfId="6170"/>
    <cellStyle name="Note 144 6 4" xfId="6171"/>
    <cellStyle name="Note 144 6 5" xfId="6172"/>
    <cellStyle name="Note 144 6 6" xfId="34729"/>
    <cellStyle name="Note 144 6 7" xfId="34730"/>
    <cellStyle name="Note 144 6 8" xfId="34731"/>
    <cellStyle name="Note 144 7" xfId="6173"/>
    <cellStyle name="Note 144 7 2" xfId="6174"/>
    <cellStyle name="Note 144 7 3" xfId="6175"/>
    <cellStyle name="Note 144 7 4" xfId="6176"/>
    <cellStyle name="Note 144 7 5" xfId="6177"/>
    <cellStyle name="Note 144 7 6" xfId="34732"/>
    <cellStyle name="Note 144 7 7" xfId="34733"/>
    <cellStyle name="Note 144 7 8" xfId="34734"/>
    <cellStyle name="Note 144 8" xfId="6178"/>
    <cellStyle name="Note 144 9" xfId="6179"/>
    <cellStyle name="Note 145" xfId="6180"/>
    <cellStyle name="Note 145 10" xfId="6181"/>
    <cellStyle name="Note 145 11" xfId="6182"/>
    <cellStyle name="Note 145 12" xfId="34735"/>
    <cellStyle name="Note 145 13" xfId="34736"/>
    <cellStyle name="Note 145 14" xfId="34737"/>
    <cellStyle name="Note 145 2" xfId="6183"/>
    <cellStyle name="Note 145 2 10" xfId="6184"/>
    <cellStyle name="Note 145 2 11" xfId="34738"/>
    <cellStyle name="Note 145 2 12" xfId="34739"/>
    <cellStyle name="Note 145 2 13" xfId="34740"/>
    <cellStyle name="Note 145 2 2" xfId="6185"/>
    <cellStyle name="Note 145 2 2 2" xfId="6186"/>
    <cellStyle name="Note 145 2 2 3" xfId="6187"/>
    <cellStyle name="Note 145 2 2 4" xfId="6188"/>
    <cellStyle name="Note 145 2 2 5" xfId="6189"/>
    <cellStyle name="Note 145 2 2 6" xfId="34741"/>
    <cellStyle name="Note 145 2 2 7" xfId="34742"/>
    <cellStyle name="Note 145 2 2 8" xfId="34743"/>
    <cellStyle name="Note 145 2 3" xfId="6190"/>
    <cellStyle name="Note 145 2 3 2" xfId="6191"/>
    <cellStyle name="Note 145 2 3 3" xfId="6192"/>
    <cellStyle name="Note 145 2 3 4" xfId="6193"/>
    <cellStyle name="Note 145 2 3 5" xfId="6194"/>
    <cellStyle name="Note 145 2 3 6" xfId="34744"/>
    <cellStyle name="Note 145 2 3 7" xfId="34745"/>
    <cellStyle name="Note 145 2 3 8" xfId="34746"/>
    <cellStyle name="Note 145 2 4" xfId="6195"/>
    <cellStyle name="Note 145 2 4 2" xfId="6196"/>
    <cellStyle name="Note 145 2 4 3" xfId="6197"/>
    <cellStyle name="Note 145 2 4 4" xfId="6198"/>
    <cellStyle name="Note 145 2 4 5" xfId="6199"/>
    <cellStyle name="Note 145 2 4 6" xfId="34747"/>
    <cellStyle name="Note 145 2 4 7" xfId="34748"/>
    <cellStyle name="Note 145 2 4 8" xfId="34749"/>
    <cellStyle name="Note 145 2 5" xfId="6200"/>
    <cellStyle name="Note 145 2 5 2" xfId="6201"/>
    <cellStyle name="Note 145 2 5 3" xfId="6202"/>
    <cellStyle name="Note 145 2 5 4" xfId="6203"/>
    <cellStyle name="Note 145 2 5 5" xfId="6204"/>
    <cellStyle name="Note 145 2 5 6" xfId="34750"/>
    <cellStyle name="Note 145 2 5 7" xfId="34751"/>
    <cellStyle name="Note 145 2 5 8" xfId="34752"/>
    <cellStyle name="Note 145 2 6" xfId="6205"/>
    <cellStyle name="Note 145 2 6 2" xfId="6206"/>
    <cellStyle name="Note 145 2 6 3" xfId="6207"/>
    <cellStyle name="Note 145 2 6 4" xfId="6208"/>
    <cellStyle name="Note 145 2 6 5" xfId="6209"/>
    <cellStyle name="Note 145 2 6 6" xfId="34753"/>
    <cellStyle name="Note 145 2 6 7" xfId="34754"/>
    <cellStyle name="Note 145 2 6 8" xfId="34755"/>
    <cellStyle name="Note 145 2 7" xfId="6210"/>
    <cellStyle name="Note 145 2 8" xfId="6211"/>
    <cellStyle name="Note 145 2 9" xfId="6212"/>
    <cellStyle name="Note 145 3" xfId="6213"/>
    <cellStyle name="Note 145 3 2" xfId="6214"/>
    <cellStyle name="Note 145 3 3" xfId="6215"/>
    <cellStyle name="Note 145 3 4" xfId="6216"/>
    <cellStyle name="Note 145 3 5" xfId="6217"/>
    <cellStyle name="Note 145 3 6" xfId="34756"/>
    <cellStyle name="Note 145 3 7" xfId="34757"/>
    <cellStyle name="Note 145 3 8" xfId="34758"/>
    <cellStyle name="Note 145 4" xfId="6218"/>
    <cellStyle name="Note 145 4 2" xfId="6219"/>
    <cellStyle name="Note 145 4 3" xfId="6220"/>
    <cellStyle name="Note 145 4 4" xfId="6221"/>
    <cellStyle name="Note 145 4 5" xfId="6222"/>
    <cellStyle name="Note 145 4 6" xfId="34759"/>
    <cellStyle name="Note 145 4 7" xfId="34760"/>
    <cellStyle name="Note 145 4 8" xfId="34761"/>
    <cellStyle name="Note 145 5" xfId="6223"/>
    <cellStyle name="Note 145 5 2" xfId="6224"/>
    <cellStyle name="Note 145 5 3" xfId="6225"/>
    <cellStyle name="Note 145 5 4" xfId="6226"/>
    <cellStyle name="Note 145 5 5" xfId="6227"/>
    <cellStyle name="Note 145 5 6" xfId="34762"/>
    <cellStyle name="Note 145 5 7" xfId="34763"/>
    <cellStyle name="Note 145 5 8" xfId="34764"/>
    <cellStyle name="Note 145 6" xfId="6228"/>
    <cellStyle name="Note 145 6 2" xfId="6229"/>
    <cellStyle name="Note 145 6 3" xfId="6230"/>
    <cellStyle name="Note 145 6 4" xfId="6231"/>
    <cellStyle name="Note 145 6 5" xfId="6232"/>
    <cellStyle name="Note 145 6 6" xfId="34765"/>
    <cellStyle name="Note 145 6 7" xfId="34766"/>
    <cellStyle name="Note 145 6 8" xfId="34767"/>
    <cellStyle name="Note 145 7" xfId="6233"/>
    <cellStyle name="Note 145 7 2" xfId="6234"/>
    <cellStyle name="Note 145 7 3" xfId="6235"/>
    <cellStyle name="Note 145 7 4" xfId="6236"/>
    <cellStyle name="Note 145 7 5" xfId="6237"/>
    <cellStyle name="Note 145 7 6" xfId="34768"/>
    <cellStyle name="Note 145 7 7" xfId="34769"/>
    <cellStyle name="Note 145 7 8" xfId="34770"/>
    <cellStyle name="Note 145 8" xfId="6238"/>
    <cellStyle name="Note 145 9" xfId="6239"/>
    <cellStyle name="Note 146" xfId="6240"/>
    <cellStyle name="Note 146 10" xfId="6241"/>
    <cellStyle name="Note 146 11" xfId="6242"/>
    <cellStyle name="Note 146 12" xfId="34771"/>
    <cellStyle name="Note 146 13" xfId="34772"/>
    <cellStyle name="Note 146 14" xfId="34773"/>
    <cellStyle name="Note 146 2" xfId="6243"/>
    <cellStyle name="Note 146 2 10" xfId="6244"/>
    <cellStyle name="Note 146 2 11" xfId="34774"/>
    <cellStyle name="Note 146 2 12" xfId="34775"/>
    <cellStyle name="Note 146 2 13" xfId="34776"/>
    <cellStyle name="Note 146 2 2" xfId="6245"/>
    <cellStyle name="Note 146 2 2 2" xfId="6246"/>
    <cellStyle name="Note 146 2 2 3" xfId="6247"/>
    <cellStyle name="Note 146 2 2 4" xfId="6248"/>
    <cellStyle name="Note 146 2 2 5" xfId="6249"/>
    <cellStyle name="Note 146 2 2 6" xfId="34777"/>
    <cellStyle name="Note 146 2 2 7" xfId="34778"/>
    <cellStyle name="Note 146 2 2 8" xfId="34779"/>
    <cellStyle name="Note 146 2 3" xfId="6250"/>
    <cellStyle name="Note 146 2 3 2" xfId="6251"/>
    <cellStyle name="Note 146 2 3 3" xfId="6252"/>
    <cellStyle name="Note 146 2 3 4" xfId="6253"/>
    <cellStyle name="Note 146 2 3 5" xfId="6254"/>
    <cellStyle name="Note 146 2 3 6" xfId="34780"/>
    <cellStyle name="Note 146 2 3 7" xfId="34781"/>
    <cellStyle name="Note 146 2 3 8" xfId="34782"/>
    <cellStyle name="Note 146 2 4" xfId="6255"/>
    <cellStyle name="Note 146 2 4 2" xfId="6256"/>
    <cellStyle name="Note 146 2 4 3" xfId="6257"/>
    <cellStyle name="Note 146 2 4 4" xfId="6258"/>
    <cellStyle name="Note 146 2 4 5" xfId="6259"/>
    <cellStyle name="Note 146 2 4 6" xfId="34783"/>
    <cellStyle name="Note 146 2 4 7" xfId="34784"/>
    <cellStyle name="Note 146 2 4 8" xfId="34785"/>
    <cellStyle name="Note 146 2 5" xfId="6260"/>
    <cellStyle name="Note 146 2 5 2" xfId="6261"/>
    <cellStyle name="Note 146 2 5 3" xfId="6262"/>
    <cellStyle name="Note 146 2 5 4" xfId="6263"/>
    <cellStyle name="Note 146 2 5 5" xfId="6264"/>
    <cellStyle name="Note 146 2 5 6" xfId="34786"/>
    <cellStyle name="Note 146 2 5 7" xfId="34787"/>
    <cellStyle name="Note 146 2 5 8" xfId="34788"/>
    <cellStyle name="Note 146 2 6" xfId="6265"/>
    <cellStyle name="Note 146 2 6 2" xfId="6266"/>
    <cellStyle name="Note 146 2 6 3" xfId="6267"/>
    <cellStyle name="Note 146 2 6 4" xfId="6268"/>
    <cellStyle name="Note 146 2 6 5" xfId="6269"/>
    <cellStyle name="Note 146 2 6 6" xfId="34789"/>
    <cellStyle name="Note 146 2 6 7" xfId="34790"/>
    <cellStyle name="Note 146 2 6 8" xfId="34791"/>
    <cellStyle name="Note 146 2 7" xfId="6270"/>
    <cellStyle name="Note 146 2 8" xfId="6271"/>
    <cellStyle name="Note 146 2 9" xfId="6272"/>
    <cellStyle name="Note 146 3" xfId="6273"/>
    <cellStyle name="Note 146 3 2" xfId="6274"/>
    <cellStyle name="Note 146 3 3" xfId="6275"/>
    <cellStyle name="Note 146 3 4" xfId="6276"/>
    <cellStyle name="Note 146 3 5" xfId="6277"/>
    <cellStyle name="Note 146 3 6" xfId="34792"/>
    <cellStyle name="Note 146 3 7" xfId="34793"/>
    <cellStyle name="Note 146 3 8" xfId="34794"/>
    <cellStyle name="Note 146 4" xfId="6278"/>
    <cellStyle name="Note 146 4 2" xfId="6279"/>
    <cellStyle name="Note 146 4 3" xfId="6280"/>
    <cellStyle name="Note 146 4 4" xfId="6281"/>
    <cellStyle name="Note 146 4 5" xfId="6282"/>
    <cellStyle name="Note 146 4 6" xfId="34795"/>
    <cellStyle name="Note 146 4 7" xfId="34796"/>
    <cellStyle name="Note 146 4 8" xfId="34797"/>
    <cellStyle name="Note 146 5" xfId="6283"/>
    <cellStyle name="Note 146 5 2" xfId="6284"/>
    <cellStyle name="Note 146 5 3" xfId="6285"/>
    <cellStyle name="Note 146 5 4" xfId="6286"/>
    <cellStyle name="Note 146 5 5" xfId="6287"/>
    <cellStyle name="Note 146 5 6" xfId="34798"/>
    <cellStyle name="Note 146 5 7" xfId="34799"/>
    <cellStyle name="Note 146 5 8" xfId="34800"/>
    <cellStyle name="Note 146 6" xfId="6288"/>
    <cellStyle name="Note 146 6 2" xfId="6289"/>
    <cellStyle name="Note 146 6 3" xfId="6290"/>
    <cellStyle name="Note 146 6 4" xfId="6291"/>
    <cellStyle name="Note 146 6 5" xfId="6292"/>
    <cellStyle name="Note 146 6 6" xfId="34801"/>
    <cellStyle name="Note 146 6 7" xfId="34802"/>
    <cellStyle name="Note 146 6 8" xfId="34803"/>
    <cellStyle name="Note 146 7" xfId="6293"/>
    <cellStyle name="Note 146 7 2" xfId="6294"/>
    <cellStyle name="Note 146 7 3" xfId="6295"/>
    <cellStyle name="Note 146 7 4" xfId="6296"/>
    <cellStyle name="Note 146 7 5" xfId="6297"/>
    <cellStyle name="Note 146 7 6" xfId="34804"/>
    <cellStyle name="Note 146 7 7" xfId="34805"/>
    <cellStyle name="Note 146 7 8" xfId="34806"/>
    <cellStyle name="Note 146 8" xfId="6298"/>
    <cellStyle name="Note 146 9" xfId="6299"/>
    <cellStyle name="Note 147" xfId="6300"/>
    <cellStyle name="Note 147 10" xfId="6301"/>
    <cellStyle name="Note 147 11" xfId="6302"/>
    <cellStyle name="Note 147 12" xfId="34807"/>
    <cellStyle name="Note 147 13" xfId="34808"/>
    <cellStyle name="Note 147 14" xfId="34809"/>
    <cellStyle name="Note 147 2" xfId="6303"/>
    <cellStyle name="Note 147 2 10" xfId="6304"/>
    <cellStyle name="Note 147 2 11" xfId="34810"/>
    <cellStyle name="Note 147 2 12" xfId="34811"/>
    <cellStyle name="Note 147 2 13" xfId="34812"/>
    <cellStyle name="Note 147 2 2" xfId="6305"/>
    <cellStyle name="Note 147 2 2 2" xfId="6306"/>
    <cellStyle name="Note 147 2 2 3" xfId="6307"/>
    <cellStyle name="Note 147 2 2 4" xfId="6308"/>
    <cellStyle name="Note 147 2 2 5" xfId="6309"/>
    <cellStyle name="Note 147 2 2 6" xfId="34813"/>
    <cellStyle name="Note 147 2 2 7" xfId="34814"/>
    <cellStyle name="Note 147 2 2 8" xfId="34815"/>
    <cellStyle name="Note 147 2 3" xfId="6310"/>
    <cellStyle name="Note 147 2 3 2" xfId="6311"/>
    <cellStyle name="Note 147 2 3 3" xfId="6312"/>
    <cellStyle name="Note 147 2 3 4" xfId="6313"/>
    <cellStyle name="Note 147 2 3 5" xfId="6314"/>
    <cellStyle name="Note 147 2 3 6" xfId="34816"/>
    <cellStyle name="Note 147 2 3 7" xfId="34817"/>
    <cellStyle name="Note 147 2 3 8" xfId="34818"/>
    <cellStyle name="Note 147 2 4" xfId="6315"/>
    <cellStyle name="Note 147 2 4 2" xfId="6316"/>
    <cellStyle name="Note 147 2 4 3" xfId="6317"/>
    <cellStyle name="Note 147 2 4 4" xfId="6318"/>
    <cellStyle name="Note 147 2 4 5" xfId="6319"/>
    <cellStyle name="Note 147 2 4 6" xfId="34819"/>
    <cellStyle name="Note 147 2 4 7" xfId="34820"/>
    <cellStyle name="Note 147 2 4 8" xfId="34821"/>
    <cellStyle name="Note 147 2 5" xfId="6320"/>
    <cellStyle name="Note 147 2 5 2" xfId="6321"/>
    <cellStyle name="Note 147 2 5 3" xfId="6322"/>
    <cellStyle name="Note 147 2 5 4" xfId="6323"/>
    <cellStyle name="Note 147 2 5 5" xfId="6324"/>
    <cellStyle name="Note 147 2 5 6" xfId="34822"/>
    <cellStyle name="Note 147 2 5 7" xfId="34823"/>
    <cellStyle name="Note 147 2 5 8" xfId="34824"/>
    <cellStyle name="Note 147 2 6" xfId="6325"/>
    <cellStyle name="Note 147 2 6 2" xfId="6326"/>
    <cellStyle name="Note 147 2 6 3" xfId="6327"/>
    <cellStyle name="Note 147 2 6 4" xfId="6328"/>
    <cellStyle name="Note 147 2 6 5" xfId="6329"/>
    <cellStyle name="Note 147 2 6 6" xfId="34825"/>
    <cellStyle name="Note 147 2 6 7" xfId="34826"/>
    <cellStyle name="Note 147 2 6 8" xfId="34827"/>
    <cellStyle name="Note 147 2 7" xfId="6330"/>
    <cellStyle name="Note 147 2 8" xfId="6331"/>
    <cellStyle name="Note 147 2 9" xfId="6332"/>
    <cellStyle name="Note 147 3" xfId="6333"/>
    <cellStyle name="Note 147 3 2" xfId="6334"/>
    <cellStyle name="Note 147 3 3" xfId="6335"/>
    <cellStyle name="Note 147 3 4" xfId="6336"/>
    <cellStyle name="Note 147 3 5" xfId="6337"/>
    <cellStyle name="Note 147 3 6" xfId="34828"/>
    <cellStyle name="Note 147 3 7" xfId="34829"/>
    <cellStyle name="Note 147 3 8" xfId="34830"/>
    <cellStyle name="Note 147 4" xfId="6338"/>
    <cellStyle name="Note 147 4 2" xfId="6339"/>
    <cellStyle name="Note 147 4 3" xfId="6340"/>
    <cellStyle name="Note 147 4 4" xfId="6341"/>
    <cellStyle name="Note 147 4 5" xfId="6342"/>
    <cellStyle name="Note 147 4 6" xfId="34831"/>
    <cellStyle name="Note 147 4 7" xfId="34832"/>
    <cellStyle name="Note 147 4 8" xfId="34833"/>
    <cellStyle name="Note 147 5" xfId="6343"/>
    <cellStyle name="Note 147 5 2" xfId="6344"/>
    <cellStyle name="Note 147 5 3" xfId="6345"/>
    <cellStyle name="Note 147 5 4" xfId="6346"/>
    <cellStyle name="Note 147 5 5" xfId="6347"/>
    <cellStyle name="Note 147 5 6" xfId="34834"/>
    <cellStyle name="Note 147 5 7" xfId="34835"/>
    <cellStyle name="Note 147 5 8" xfId="34836"/>
    <cellStyle name="Note 147 6" xfId="6348"/>
    <cellStyle name="Note 147 6 2" xfId="6349"/>
    <cellStyle name="Note 147 6 3" xfId="6350"/>
    <cellStyle name="Note 147 6 4" xfId="6351"/>
    <cellStyle name="Note 147 6 5" xfId="6352"/>
    <cellStyle name="Note 147 6 6" xfId="34837"/>
    <cellStyle name="Note 147 6 7" xfId="34838"/>
    <cellStyle name="Note 147 6 8" xfId="34839"/>
    <cellStyle name="Note 147 7" xfId="6353"/>
    <cellStyle name="Note 147 7 2" xfId="6354"/>
    <cellStyle name="Note 147 7 3" xfId="6355"/>
    <cellStyle name="Note 147 7 4" xfId="6356"/>
    <cellStyle name="Note 147 7 5" xfId="6357"/>
    <cellStyle name="Note 147 7 6" xfId="34840"/>
    <cellStyle name="Note 147 7 7" xfId="34841"/>
    <cellStyle name="Note 147 7 8" xfId="34842"/>
    <cellStyle name="Note 147 8" xfId="6358"/>
    <cellStyle name="Note 147 9" xfId="6359"/>
    <cellStyle name="Note 148" xfId="6360"/>
    <cellStyle name="Note 148 10" xfId="6361"/>
    <cellStyle name="Note 148 11" xfId="6362"/>
    <cellStyle name="Note 148 12" xfId="34843"/>
    <cellStyle name="Note 148 13" xfId="34844"/>
    <cellStyle name="Note 148 14" xfId="34845"/>
    <cellStyle name="Note 148 2" xfId="6363"/>
    <cellStyle name="Note 148 2 10" xfId="6364"/>
    <cellStyle name="Note 148 2 11" xfId="34846"/>
    <cellStyle name="Note 148 2 12" xfId="34847"/>
    <cellStyle name="Note 148 2 13" xfId="34848"/>
    <cellStyle name="Note 148 2 2" xfId="6365"/>
    <cellStyle name="Note 148 2 2 2" xfId="6366"/>
    <cellStyle name="Note 148 2 2 3" xfId="6367"/>
    <cellStyle name="Note 148 2 2 4" xfId="6368"/>
    <cellStyle name="Note 148 2 2 5" xfId="6369"/>
    <cellStyle name="Note 148 2 2 6" xfId="34849"/>
    <cellStyle name="Note 148 2 2 7" xfId="34850"/>
    <cellStyle name="Note 148 2 2 8" xfId="34851"/>
    <cellStyle name="Note 148 2 3" xfId="6370"/>
    <cellStyle name="Note 148 2 3 2" xfId="6371"/>
    <cellStyle name="Note 148 2 3 3" xfId="6372"/>
    <cellStyle name="Note 148 2 3 4" xfId="6373"/>
    <cellStyle name="Note 148 2 3 5" xfId="6374"/>
    <cellStyle name="Note 148 2 3 6" xfId="34852"/>
    <cellStyle name="Note 148 2 3 7" xfId="34853"/>
    <cellStyle name="Note 148 2 3 8" xfId="34854"/>
    <cellStyle name="Note 148 2 4" xfId="6375"/>
    <cellStyle name="Note 148 2 4 2" xfId="6376"/>
    <cellStyle name="Note 148 2 4 3" xfId="6377"/>
    <cellStyle name="Note 148 2 4 4" xfId="6378"/>
    <cellStyle name="Note 148 2 4 5" xfId="6379"/>
    <cellStyle name="Note 148 2 4 6" xfId="34855"/>
    <cellStyle name="Note 148 2 4 7" xfId="34856"/>
    <cellStyle name="Note 148 2 4 8" xfId="34857"/>
    <cellStyle name="Note 148 2 5" xfId="6380"/>
    <cellStyle name="Note 148 2 5 2" xfId="6381"/>
    <cellStyle name="Note 148 2 5 3" xfId="6382"/>
    <cellStyle name="Note 148 2 5 4" xfId="6383"/>
    <cellStyle name="Note 148 2 5 5" xfId="6384"/>
    <cellStyle name="Note 148 2 5 6" xfId="34858"/>
    <cellStyle name="Note 148 2 5 7" xfId="34859"/>
    <cellStyle name="Note 148 2 5 8" xfId="34860"/>
    <cellStyle name="Note 148 2 6" xfId="6385"/>
    <cellStyle name="Note 148 2 6 2" xfId="6386"/>
    <cellStyle name="Note 148 2 6 3" xfId="6387"/>
    <cellStyle name="Note 148 2 6 4" xfId="6388"/>
    <cellStyle name="Note 148 2 6 5" xfId="6389"/>
    <cellStyle name="Note 148 2 6 6" xfId="34861"/>
    <cellStyle name="Note 148 2 6 7" xfId="34862"/>
    <cellStyle name="Note 148 2 6 8" xfId="34863"/>
    <cellStyle name="Note 148 2 7" xfId="6390"/>
    <cellStyle name="Note 148 2 8" xfId="6391"/>
    <cellStyle name="Note 148 2 9" xfId="6392"/>
    <cellStyle name="Note 148 3" xfId="6393"/>
    <cellStyle name="Note 148 3 2" xfId="6394"/>
    <cellStyle name="Note 148 3 3" xfId="6395"/>
    <cellStyle name="Note 148 3 4" xfId="6396"/>
    <cellStyle name="Note 148 3 5" xfId="6397"/>
    <cellStyle name="Note 148 3 6" xfId="34864"/>
    <cellStyle name="Note 148 3 7" xfId="34865"/>
    <cellStyle name="Note 148 3 8" xfId="34866"/>
    <cellStyle name="Note 148 4" xfId="6398"/>
    <cellStyle name="Note 148 4 2" xfId="6399"/>
    <cellStyle name="Note 148 4 3" xfId="6400"/>
    <cellStyle name="Note 148 4 4" xfId="6401"/>
    <cellStyle name="Note 148 4 5" xfId="6402"/>
    <cellStyle name="Note 148 4 6" xfId="34867"/>
    <cellStyle name="Note 148 4 7" xfId="34868"/>
    <cellStyle name="Note 148 4 8" xfId="34869"/>
    <cellStyle name="Note 148 5" xfId="6403"/>
    <cellStyle name="Note 148 5 2" xfId="6404"/>
    <cellStyle name="Note 148 5 3" xfId="6405"/>
    <cellStyle name="Note 148 5 4" xfId="6406"/>
    <cellStyle name="Note 148 5 5" xfId="6407"/>
    <cellStyle name="Note 148 5 6" xfId="34870"/>
    <cellStyle name="Note 148 5 7" xfId="34871"/>
    <cellStyle name="Note 148 5 8" xfId="34872"/>
    <cellStyle name="Note 148 6" xfId="6408"/>
    <cellStyle name="Note 148 6 2" xfId="6409"/>
    <cellStyle name="Note 148 6 3" xfId="6410"/>
    <cellStyle name="Note 148 6 4" xfId="6411"/>
    <cellStyle name="Note 148 6 5" xfId="6412"/>
    <cellStyle name="Note 148 6 6" xfId="34873"/>
    <cellStyle name="Note 148 6 7" xfId="34874"/>
    <cellStyle name="Note 148 6 8" xfId="34875"/>
    <cellStyle name="Note 148 7" xfId="6413"/>
    <cellStyle name="Note 148 7 2" xfId="6414"/>
    <cellStyle name="Note 148 7 3" xfId="6415"/>
    <cellStyle name="Note 148 7 4" xfId="6416"/>
    <cellStyle name="Note 148 7 5" xfId="6417"/>
    <cellStyle name="Note 148 7 6" xfId="34876"/>
    <cellStyle name="Note 148 7 7" xfId="34877"/>
    <cellStyle name="Note 148 7 8" xfId="34878"/>
    <cellStyle name="Note 148 8" xfId="6418"/>
    <cellStyle name="Note 148 9" xfId="6419"/>
    <cellStyle name="Note 149" xfId="6420"/>
    <cellStyle name="Note 149 10" xfId="6421"/>
    <cellStyle name="Note 149 11" xfId="6422"/>
    <cellStyle name="Note 149 12" xfId="34879"/>
    <cellStyle name="Note 149 13" xfId="34880"/>
    <cellStyle name="Note 149 14" xfId="34881"/>
    <cellStyle name="Note 149 2" xfId="6423"/>
    <cellStyle name="Note 149 2 10" xfId="6424"/>
    <cellStyle name="Note 149 2 11" xfId="34882"/>
    <cellStyle name="Note 149 2 12" xfId="34883"/>
    <cellStyle name="Note 149 2 13" xfId="34884"/>
    <cellStyle name="Note 149 2 2" xfId="6425"/>
    <cellStyle name="Note 149 2 2 2" xfId="6426"/>
    <cellStyle name="Note 149 2 2 3" xfId="6427"/>
    <cellStyle name="Note 149 2 2 4" xfId="6428"/>
    <cellStyle name="Note 149 2 2 5" xfId="6429"/>
    <cellStyle name="Note 149 2 2 6" xfId="34885"/>
    <cellStyle name="Note 149 2 2 7" xfId="34886"/>
    <cellStyle name="Note 149 2 2 8" xfId="34887"/>
    <cellStyle name="Note 149 2 3" xfId="6430"/>
    <cellStyle name="Note 149 2 3 2" xfId="6431"/>
    <cellStyle name="Note 149 2 3 3" xfId="6432"/>
    <cellStyle name="Note 149 2 3 4" xfId="6433"/>
    <cellStyle name="Note 149 2 3 5" xfId="6434"/>
    <cellStyle name="Note 149 2 3 6" xfId="34888"/>
    <cellStyle name="Note 149 2 3 7" xfId="34889"/>
    <cellStyle name="Note 149 2 3 8" xfId="34890"/>
    <cellStyle name="Note 149 2 4" xfId="6435"/>
    <cellStyle name="Note 149 2 4 2" xfId="6436"/>
    <cellStyle name="Note 149 2 4 3" xfId="6437"/>
    <cellStyle name="Note 149 2 4 4" xfId="6438"/>
    <cellStyle name="Note 149 2 4 5" xfId="6439"/>
    <cellStyle name="Note 149 2 4 6" xfId="34891"/>
    <cellStyle name="Note 149 2 4 7" xfId="34892"/>
    <cellStyle name="Note 149 2 4 8" xfId="34893"/>
    <cellStyle name="Note 149 2 5" xfId="6440"/>
    <cellStyle name="Note 149 2 5 2" xfId="6441"/>
    <cellStyle name="Note 149 2 5 3" xfId="6442"/>
    <cellStyle name="Note 149 2 5 4" xfId="6443"/>
    <cellStyle name="Note 149 2 5 5" xfId="6444"/>
    <cellStyle name="Note 149 2 5 6" xfId="34894"/>
    <cellStyle name="Note 149 2 5 7" xfId="34895"/>
    <cellStyle name="Note 149 2 5 8" xfId="34896"/>
    <cellStyle name="Note 149 2 6" xfId="6445"/>
    <cellStyle name="Note 149 2 6 2" xfId="6446"/>
    <cellStyle name="Note 149 2 6 3" xfId="6447"/>
    <cellStyle name="Note 149 2 6 4" xfId="6448"/>
    <cellStyle name="Note 149 2 6 5" xfId="6449"/>
    <cellStyle name="Note 149 2 6 6" xfId="34897"/>
    <cellStyle name="Note 149 2 6 7" xfId="34898"/>
    <cellStyle name="Note 149 2 6 8" xfId="34899"/>
    <cellStyle name="Note 149 2 7" xfId="6450"/>
    <cellStyle name="Note 149 2 8" xfId="6451"/>
    <cellStyle name="Note 149 2 9" xfId="6452"/>
    <cellStyle name="Note 149 3" xfId="6453"/>
    <cellStyle name="Note 149 3 2" xfId="6454"/>
    <cellStyle name="Note 149 3 3" xfId="6455"/>
    <cellStyle name="Note 149 3 4" xfId="6456"/>
    <cellStyle name="Note 149 3 5" xfId="6457"/>
    <cellStyle name="Note 149 3 6" xfId="34900"/>
    <cellStyle name="Note 149 3 7" xfId="34901"/>
    <cellStyle name="Note 149 3 8" xfId="34902"/>
    <cellStyle name="Note 149 4" xfId="6458"/>
    <cellStyle name="Note 149 4 2" xfId="6459"/>
    <cellStyle name="Note 149 4 3" xfId="6460"/>
    <cellStyle name="Note 149 4 4" xfId="6461"/>
    <cellStyle name="Note 149 4 5" xfId="6462"/>
    <cellStyle name="Note 149 4 6" xfId="34903"/>
    <cellStyle name="Note 149 4 7" xfId="34904"/>
    <cellStyle name="Note 149 4 8" xfId="34905"/>
    <cellStyle name="Note 149 5" xfId="6463"/>
    <cellStyle name="Note 149 5 2" xfId="6464"/>
    <cellStyle name="Note 149 5 3" xfId="6465"/>
    <cellStyle name="Note 149 5 4" xfId="6466"/>
    <cellStyle name="Note 149 5 5" xfId="6467"/>
    <cellStyle name="Note 149 5 6" xfId="34906"/>
    <cellStyle name="Note 149 5 7" xfId="34907"/>
    <cellStyle name="Note 149 5 8" xfId="34908"/>
    <cellStyle name="Note 149 6" xfId="6468"/>
    <cellStyle name="Note 149 6 2" xfId="6469"/>
    <cellStyle name="Note 149 6 3" xfId="6470"/>
    <cellStyle name="Note 149 6 4" xfId="6471"/>
    <cellStyle name="Note 149 6 5" xfId="6472"/>
    <cellStyle name="Note 149 6 6" xfId="34909"/>
    <cellStyle name="Note 149 6 7" xfId="34910"/>
    <cellStyle name="Note 149 6 8" xfId="34911"/>
    <cellStyle name="Note 149 7" xfId="6473"/>
    <cellStyle name="Note 149 7 2" xfId="6474"/>
    <cellStyle name="Note 149 7 3" xfId="6475"/>
    <cellStyle name="Note 149 7 4" xfId="6476"/>
    <cellStyle name="Note 149 7 5" xfId="6477"/>
    <cellStyle name="Note 149 7 6" xfId="34912"/>
    <cellStyle name="Note 149 7 7" xfId="34913"/>
    <cellStyle name="Note 149 7 8" xfId="34914"/>
    <cellStyle name="Note 149 8" xfId="6478"/>
    <cellStyle name="Note 149 9" xfId="6479"/>
    <cellStyle name="Note 15" xfId="6480"/>
    <cellStyle name="Note 15 10" xfId="6481"/>
    <cellStyle name="Note 15 11" xfId="34915"/>
    <cellStyle name="Note 15 12" xfId="34916"/>
    <cellStyle name="Note 15 13" xfId="34917"/>
    <cellStyle name="Note 15 2" xfId="6482"/>
    <cellStyle name="Note 15 2 2" xfId="6483"/>
    <cellStyle name="Note 15 2 3" xfId="6484"/>
    <cellStyle name="Note 15 2 4" xfId="6485"/>
    <cellStyle name="Note 15 2 5" xfId="6486"/>
    <cellStyle name="Note 15 2 6" xfId="34918"/>
    <cellStyle name="Note 15 2 7" xfId="34919"/>
    <cellStyle name="Note 15 2 8" xfId="34920"/>
    <cellStyle name="Note 15 3" xfId="6487"/>
    <cellStyle name="Note 15 3 2" xfId="6488"/>
    <cellStyle name="Note 15 3 3" xfId="6489"/>
    <cellStyle name="Note 15 3 4" xfId="6490"/>
    <cellStyle name="Note 15 3 5" xfId="6491"/>
    <cellStyle name="Note 15 3 6" xfId="34921"/>
    <cellStyle name="Note 15 3 7" xfId="34922"/>
    <cellStyle name="Note 15 3 8" xfId="34923"/>
    <cellStyle name="Note 15 4" xfId="6492"/>
    <cellStyle name="Note 15 4 2" xfId="6493"/>
    <cellStyle name="Note 15 4 3" xfId="6494"/>
    <cellStyle name="Note 15 4 4" xfId="6495"/>
    <cellStyle name="Note 15 4 5" xfId="6496"/>
    <cellStyle name="Note 15 4 6" xfId="34924"/>
    <cellStyle name="Note 15 4 7" xfId="34925"/>
    <cellStyle name="Note 15 4 8" xfId="34926"/>
    <cellStyle name="Note 15 5" xfId="6497"/>
    <cellStyle name="Note 15 5 2" xfId="6498"/>
    <cellStyle name="Note 15 5 3" xfId="6499"/>
    <cellStyle name="Note 15 5 4" xfId="6500"/>
    <cellStyle name="Note 15 5 5" xfId="6501"/>
    <cellStyle name="Note 15 5 6" xfId="34927"/>
    <cellStyle name="Note 15 5 7" xfId="34928"/>
    <cellStyle name="Note 15 5 8" xfId="34929"/>
    <cellStyle name="Note 15 6" xfId="6502"/>
    <cellStyle name="Note 15 6 2" xfId="6503"/>
    <cellStyle name="Note 15 6 3" xfId="6504"/>
    <cellStyle name="Note 15 6 4" xfId="6505"/>
    <cellStyle name="Note 15 6 5" xfId="6506"/>
    <cellStyle name="Note 15 6 6" xfId="34930"/>
    <cellStyle name="Note 15 6 7" xfId="34931"/>
    <cellStyle name="Note 15 6 8" xfId="34932"/>
    <cellStyle name="Note 15 7" xfId="6507"/>
    <cellStyle name="Note 15 8" xfId="6508"/>
    <cellStyle name="Note 15 9" xfId="6509"/>
    <cellStyle name="Note 150" xfId="6510"/>
    <cellStyle name="Note 150 10" xfId="6511"/>
    <cellStyle name="Note 150 11" xfId="6512"/>
    <cellStyle name="Note 150 12" xfId="34933"/>
    <cellStyle name="Note 150 13" xfId="34934"/>
    <cellStyle name="Note 150 14" xfId="34935"/>
    <cellStyle name="Note 150 2" xfId="6513"/>
    <cellStyle name="Note 150 2 10" xfId="6514"/>
    <cellStyle name="Note 150 2 11" xfId="34936"/>
    <cellStyle name="Note 150 2 12" xfId="34937"/>
    <cellStyle name="Note 150 2 13" xfId="34938"/>
    <cellStyle name="Note 150 2 2" xfId="6515"/>
    <cellStyle name="Note 150 2 2 2" xfId="6516"/>
    <cellStyle name="Note 150 2 2 3" xfId="6517"/>
    <cellStyle name="Note 150 2 2 4" xfId="6518"/>
    <cellStyle name="Note 150 2 2 5" xfId="6519"/>
    <cellStyle name="Note 150 2 2 6" xfId="34939"/>
    <cellStyle name="Note 150 2 2 7" xfId="34940"/>
    <cellStyle name="Note 150 2 2 8" xfId="34941"/>
    <cellStyle name="Note 150 2 3" xfId="6520"/>
    <cellStyle name="Note 150 2 3 2" xfId="6521"/>
    <cellStyle name="Note 150 2 3 3" xfId="6522"/>
    <cellStyle name="Note 150 2 3 4" xfId="6523"/>
    <cellStyle name="Note 150 2 3 5" xfId="6524"/>
    <cellStyle name="Note 150 2 3 6" xfId="34942"/>
    <cellStyle name="Note 150 2 3 7" xfId="34943"/>
    <cellStyle name="Note 150 2 3 8" xfId="34944"/>
    <cellStyle name="Note 150 2 4" xfId="6525"/>
    <cellStyle name="Note 150 2 4 2" xfId="6526"/>
    <cellStyle name="Note 150 2 4 3" xfId="6527"/>
    <cellStyle name="Note 150 2 4 4" xfId="6528"/>
    <cellStyle name="Note 150 2 4 5" xfId="6529"/>
    <cellStyle name="Note 150 2 4 6" xfId="34945"/>
    <cellStyle name="Note 150 2 4 7" xfId="34946"/>
    <cellStyle name="Note 150 2 4 8" xfId="34947"/>
    <cellStyle name="Note 150 2 5" xfId="6530"/>
    <cellStyle name="Note 150 2 5 2" xfId="6531"/>
    <cellStyle name="Note 150 2 5 3" xfId="6532"/>
    <cellStyle name="Note 150 2 5 4" xfId="6533"/>
    <cellStyle name="Note 150 2 5 5" xfId="6534"/>
    <cellStyle name="Note 150 2 5 6" xfId="34948"/>
    <cellStyle name="Note 150 2 5 7" xfId="34949"/>
    <cellStyle name="Note 150 2 5 8" xfId="34950"/>
    <cellStyle name="Note 150 2 6" xfId="6535"/>
    <cellStyle name="Note 150 2 6 2" xfId="6536"/>
    <cellStyle name="Note 150 2 6 3" xfId="6537"/>
    <cellStyle name="Note 150 2 6 4" xfId="6538"/>
    <cellStyle name="Note 150 2 6 5" xfId="6539"/>
    <cellStyle name="Note 150 2 6 6" xfId="34951"/>
    <cellStyle name="Note 150 2 6 7" xfId="34952"/>
    <cellStyle name="Note 150 2 6 8" xfId="34953"/>
    <cellStyle name="Note 150 2 7" xfId="6540"/>
    <cellStyle name="Note 150 2 8" xfId="6541"/>
    <cellStyle name="Note 150 2 9" xfId="6542"/>
    <cellStyle name="Note 150 3" xfId="6543"/>
    <cellStyle name="Note 150 3 2" xfId="6544"/>
    <cellStyle name="Note 150 3 3" xfId="6545"/>
    <cellStyle name="Note 150 3 4" xfId="6546"/>
    <cellStyle name="Note 150 3 5" xfId="6547"/>
    <cellStyle name="Note 150 3 6" xfId="34954"/>
    <cellStyle name="Note 150 3 7" xfId="34955"/>
    <cellStyle name="Note 150 3 8" xfId="34956"/>
    <cellStyle name="Note 150 4" xfId="6548"/>
    <cellStyle name="Note 150 4 2" xfId="6549"/>
    <cellStyle name="Note 150 4 3" xfId="6550"/>
    <cellStyle name="Note 150 4 4" xfId="6551"/>
    <cellStyle name="Note 150 4 5" xfId="6552"/>
    <cellStyle name="Note 150 4 6" xfId="34957"/>
    <cellStyle name="Note 150 4 7" xfId="34958"/>
    <cellStyle name="Note 150 4 8" xfId="34959"/>
    <cellStyle name="Note 150 5" xfId="6553"/>
    <cellStyle name="Note 150 5 2" xfId="6554"/>
    <cellStyle name="Note 150 5 3" xfId="6555"/>
    <cellStyle name="Note 150 5 4" xfId="6556"/>
    <cellStyle name="Note 150 5 5" xfId="6557"/>
    <cellStyle name="Note 150 5 6" xfId="34960"/>
    <cellStyle name="Note 150 5 7" xfId="34961"/>
    <cellStyle name="Note 150 5 8" xfId="34962"/>
    <cellStyle name="Note 150 6" xfId="6558"/>
    <cellStyle name="Note 150 6 2" xfId="6559"/>
    <cellStyle name="Note 150 6 3" xfId="6560"/>
    <cellStyle name="Note 150 6 4" xfId="6561"/>
    <cellStyle name="Note 150 6 5" xfId="6562"/>
    <cellStyle name="Note 150 6 6" xfId="34963"/>
    <cellStyle name="Note 150 6 7" xfId="34964"/>
    <cellStyle name="Note 150 6 8" xfId="34965"/>
    <cellStyle name="Note 150 7" xfId="6563"/>
    <cellStyle name="Note 150 7 2" xfId="6564"/>
    <cellStyle name="Note 150 7 3" xfId="6565"/>
    <cellStyle name="Note 150 7 4" xfId="6566"/>
    <cellStyle name="Note 150 7 5" xfId="6567"/>
    <cellStyle name="Note 150 7 6" xfId="34966"/>
    <cellStyle name="Note 150 7 7" xfId="34967"/>
    <cellStyle name="Note 150 7 8" xfId="34968"/>
    <cellStyle name="Note 150 8" xfId="6568"/>
    <cellStyle name="Note 150 9" xfId="6569"/>
    <cellStyle name="Note 151" xfId="6570"/>
    <cellStyle name="Note 151 10" xfId="6571"/>
    <cellStyle name="Note 151 11" xfId="34969"/>
    <cellStyle name="Note 151 12" xfId="34970"/>
    <cellStyle name="Note 151 13" xfId="34971"/>
    <cellStyle name="Note 151 2" xfId="6572"/>
    <cellStyle name="Note 151 2 2" xfId="6573"/>
    <cellStyle name="Note 151 2 3" xfId="6574"/>
    <cellStyle name="Note 151 2 4" xfId="6575"/>
    <cellStyle name="Note 151 2 5" xfId="6576"/>
    <cellStyle name="Note 151 2 6" xfId="34972"/>
    <cellStyle name="Note 151 2 7" xfId="34973"/>
    <cellStyle name="Note 151 2 8" xfId="34974"/>
    <cellStyle name="Note 151 3" xfId="6577"/>
    <cellStyle name="Note 151 3 2" xfId="6578"/>
    <cellStyle name="Note 151 3 3" xfId="6579"/>
    <cellStyle name="Note 151 3 4" xfId="6580"/>
    <cellStyle name="Note 151 3 5" xfId="6581"/>
    <cellStyle name="Note 151 3 6" xfId="34975"/>
    <cellStyle name="Note 151 3 7" xfId="34976"/>
    <cellStyle name="Note 151 3 8" xfId="34977"/>
    <cellStyle name="Note 151 4" xfId="6582"/>
    <cellStyle name="Note 151 4 2" xfId="6583"/>
    <cellStyle name="Note 151 4 3" xfId="6584"/>
    <cellStyle name="Note 151 4 4" xfId="6585"/>
    <cellStyle name="Note 151 4 5" xfId="6586"/>
    <cellStyle name="Note 151 4 6" xfId="34978"/>
    <cellStyle name="Note 151 4 7" xfId="34979"/>
    <cellStyle name="Note 151 4 8" xfId="34980"/>
    <cellStyle name="Note 151 5" xfId="6587"/>
    <cellStyle name="Note 151 5 2" xfId="6588"/>
    <cellStyle name="Note 151 5 3" xfId="6589"/>
    <cellStyle name="Note 151 5 4" xfId="6590"/>
    <cellStyle name="Note 151 5 5" xfId="6591"/>
    <cellStyle name="Note 151 5 6" xfId="34981"/>
    <cellStyle name="Note 151 5 7" xfId="34982"/>
    <cellStyle name="Note 151 5 8" xfId="34983"/>
    <cellStyle name="Note 151 6" xfId="6592"/>
    <cellStyle name="Note 151 6 2" xfId="6593"/>
    <cellStyle name="Note 151 6 3" xfId="6594"/>
    <cellStyle name="Note 151 6 4" xfId="6595"/>
    <cellStyle name="Note 151 6 5" xfId="6596"/>
    <cellStyle name="Note 151 6 6" xfId="34984"/>
    <cellStyle name="Note 151 6 7" xfId="34985"/>
    <cellStyle name="Note 151 6 8" xfId="34986"/>
    <cellStyle name="Note 151 7" xfId="6597"/>
    <cellStyle name="Note 151 8" xfId="6598"/>
    <cellStyle name="Note 151 9" xfId="6599"/>
    <cellStyle name="Note 152" xfId="6600"/>
    <cellStyle name="Note 152 10" xfId="6601"/>
    <cellStyle name="Note 152 11" xfId="34987"/>
    <cellStyle name="Note 152 12" xfId="34988"/>
    <cellStyle name="Note 152 13" xfId="34989"/>
    <cellStyle name="Note 152 2" xfId="6602"/>
    <cellStyle name="Note 152 2 2" xfId="6603"/>
    <cellStyle name="Note 152 2 3" xfId="6604"/>
    <cellStyle name="Note 152 2 4" xfId="6605"/>
    <cellStyle name="Note 152 2 5" xfId="6606"/>
    <cellStyle name="Note 152 2 6" xfId="34990"/>
    <cellStyle name="Note 152 2 7" xfId="34991"/>
    <cellStyle name="Note 152 2 8" xfId="34992"/>
    <cellStyle name="Note 152 3" xfId="6607"/>
    <cellStyle name="Note 152 3 2" xfId="6608"/>
    <cellStyle name="Note 152 3 3" xfId="6609"/>
    <cellStyle name="Note 152 3 4" xfId="6610"/>
    <cellStyle name="Note 152 3 5" xfId="6611"/>
    <cellStyle name="Note 152 3 6" xfId="34993"/>
    <cellStyle name="Note 152 3 7" xfId="34994"/>
    <cellStyle name="Note 152 3 8" xfId="34995"/>
    <cellStyle name="Note 152 4" xfId="6612"/>
    <cellStyle name="Note 152 4 2" xfId="6613"/>
    <cellStyle name="Note 152 4 3" xfId="6614"/>
    <cellStyle name="Note 152 4 4" xfId="6615"/>
    <cellStyle name="Note 152 4 5" xfId="6616"/>
    <cellStyle name="Note 152 4 6" xfId="34996"/>
    <cellStyle name="Note 152 4 7" xfId="34997"/>
    <cellStyle name="Note 152 4 8" xfId="34998"/>
    <cellStyle name="Note 152 5" xfId="6617"/>
    <cellStyle name="Note 152 5 2" xfId="6618"/>
    <cellStyle name="Note 152 5 3" xfId="6619"/>
    <cellStyle name="Note 152 5 4" xfId="6620"/>
    <cellStyle name="Note 152 5 5" xfId="6621"/>
    <cellStyle name="Note 152 5 6" xfId="34999"/>
    <cellStyle name="Note 152 5 7" xfId="35000"/>
    <cellStyle name="Note 152 5 8" xfId="35001"/>
    <cellStyle name="Note 152 6" xfId="6622"/>
    <cellStyle name="Note 152 6 2" xfId="6623"/>
    <cellStyle name="Note 152 6 3" xfId="6624"/>
    <cellStyle name="Note 152 6 4" xfId="6625"/>
    <cellStyle name="Note 152 6 5" xfId="6626"/>
    <cellStyle name="Note 152 6 6" xfId="35002"/>
    <cellStyle name="Note 152 6 7" xfId="35003"/>
    <cellStyle name="Note 152 6 8" xfId="35004"/>
    <cellStyle name="Note 152 7" xfId="6627"/>
    <cellStyle name="Note 152 8" xfId="6628"/>
    <cellStyle name="Note 152 9" xfId="6629"/>
    <cellStyle name="Note 153" xfId="6630"/>
    <cellStyle name="Note 153 10" xfId="6631"/>
    <cellStyle name="Note 153 11" xfId="35005"/>
    <cellStyle name="Note 153 12" xfId="35006"/>
    <cellStyle name="Note 153 13" xfId="35007"/>
    <cellStyle name="Note 153 2" xfId="6632"/>
    <cellStyle name="Note 153 2 2" xfId="6633"/>
    <cellStyle name="Note 153 2 3" xfId="6634"/>
    <cellStyle name="Note 153 2 4" xfId="6635"/>
    <cellStyle name="Note 153 2 5" xfId="6636"/>
    <cellStyle name="Note 153 2 6" xfId="35008"/>
    <cellStyle name="Note 153 2 7" xfId="35009"/>
    <cellStyle name="Note 153 2 8" xfId="35010"/>
    <cellStyle name="Note 153 3" xfId="6637"/>
    <cellStyle name="Note 153 3 2" xfId="6638"/>
    <cellStyle name="Note 153 3 3" xfId="6639"/>
    <cellStyle name="Note 153 3 4" xfId="6640"/>
    <cellStyle name="Note 153 3 5" xfId="6641"/>
    <cellStyle name="Note 153 3 6" xfId="35011"/>
    <cellStyle name="Note 153 3 7" xfId="35012"/>
    <cellStyle name="Note 153 3 8" xfId="35013"/>
    <cellStyle name="Note 153 4" xfId="6642"/>
    <cellStyle name="Note 153 4 2" xfId="6643"/>
    <cellStyle name="Note 153 4 3" xfId="6644"/>
    <cellStyle name="Note 153 4 4" xfId="6645"/>
    <cellStyle name="Note 153 4 5" xfId="6646"/>
    <cellStyle name="Note 153 4 6" xfId="35014"/>
    <cellStyle name="Note 153 4 7" xfId="35015"/>
    <cellStyle name="Note 153 4 8" xfId="35016"/>
    <cellStyle name="Note 153 5" xfId="6647"/>
    <cellStyle name="Note 153 5 2" xfId="6648"/>
    <cellStyle name="Note 153 5 3" xfId="6649"/>
    <cellStyle name="Note 153 5 4" xfId="6650"/>
    <cellStyle name="Note 153 5 5" xfId="6651"/>
    <cellStyle name="Note 153 5 6" xfId="35017"/>
    <cellStyle name="Note 153 5 7" xfId="35018"/>
    <cellStyle name="Note 153 5 8" xfId="35019"/>
    <cellStyle name="Note 153 6" xfId="6652"/>
    <cellStyle name="Note 153 6 2" xfId="6653"/>
    <cellStyle name="Note 153 6 3" xfId="6654"/>
    <cellStyle name="Note 153 6 4" xfId="6655"/>
    <cellStyle name="Note 153 6 5" xfId="6656"/>
    <cellStyle name="Note 153 6 6" xfId="35020"/>
    <cellStyle name="Note 153 6 7" xfId="35021"/>
    <cellStyle name="Note 153 6 8" xfId="35022"/>
    <cellStyle name="Note 153 7" xfId="6657"/>
    <cellStyle name="Note 153 8" xfId="6658"/>
    <cellStyle name="Note 153 9" xfId="6659"/>
    <cellStyle name="Note 154" xfId="6660"/>
    <cellStyle name="Note 154 10" xfId="6661"/>
    <cellStyle name="Note 154 11" xfId="35023"/>
    <cellStyle name="Note 154 12" xfId="35024"/>
    <cellStyle name="Note 154 13" xfId="35025"/>
    <cellStyle name="Note 154 2" xfId="6662"/>
    <cellStyle name="Note 154 2 2" xfId="6663"/>
    <cellStyle name="Note 154 2 3" xfId="6664"/>
    <cellStyle name="Note 154 2 4" xfId="6665"/>
    <cellStyle name="Note 154 2 5" xfId="6666"/>
    <cellStyle name="Note 154 2 6" xfId="35026"/>
    <cellStyle name="Note 154 2 7" xfId="35027"/>
    <cellStyle name="Note 154 2 8" xfId="35028"/>
    <cellStyle name="Note 154 3" xfId="6667"/>
    <cellStyle name="Note 154 3 2" xfId="6668"/>
    <cellStyle name="Note 154 3 3" xfId="6669"/>
    <cellStyle name="Note 154 3 4" xfId="6670"/>
    <cellStyle name="Note 154 3 5" xfId="6671"/>
    <cellStyle name="Note 154 3 6" xfId="35029"/>
    <cellStyle name="Note 154 3 7" xfId="35030"/>
    <cellStyle name="Note 154 3 8" xfId="35031"/>
    <cellStyle name="Note 154 4" xfId="6672"/>
    <cellStyle name="Note 154 4 2" xfId="6673"/>
    <cellStyle name="Note 154 4 3" xfId="6674"/>
    <cellStyle name="Note 154 4 4" xfId="6675"/>
    <cellStyle name="Note 154 4 5" xfId="6676"/>
    <cellStyle name="Note 154 4 6" xfId="35032"/>
    <cellStyle name="Note 154 4 7" xfId="35033"/>
    <cellStyle name="Note 154 4 8" xfId="35034"/>
    <cellStyle name="Note 154 5" xfId="6677"/>
    <cellStyle name="Note 154 5 2" xfId="6678"/>
    <cellStyle name="Note 154 5 3" xfId="6679"/>
    <cellStyle name="Note 154 5 4" xfId="6680"/>
    <cellStyle name="Note 154 5 5" xfId="6681"/>
    <cellStyle name="Note 154 5 6" xfId="35035"/>
    <cellStyle name="Note 154 5 7" xfId="35036"/>
    <cellStyle name="Note 154 5 8" xfId="35037"/>
    <cellStyle name="Note 154 6" xfId="6682"/>
    <cellStyle name="Note 154 6 2" xfId="6683"/>
    <cellStyle name="Note 154 6 3" xfId="6684"/>
    <cellStyle name="Note 154 6 4" xfId="6685"/>
    <cellStyle name="Note 154 6 5" xfId="6686"/>
    <cellStyle name="Note 154 6 6" xfId="35038"/>
    <cellStyle name="Note 154 6 7" xfId="35039"/>
    <cellStyle name="Note 154 6 8" xfId="35040"/>
    <cellStyle name="Note 154 7" xfId="6687"/>
    <cellStyle name="Note 154 8" xfId="6688"/>
    <cellStyle name="Note 154 9" xfId="6689"/>
    <cellStyle name="Note 155" xfId="6690"/>
    <cellStyle name="Note 155 10" xfId="6691"/>
    <cellStyle name="Note 155 11" xfId="35041"/>
    <cellStyle name="Note 155 12" xfId="35042"/>
    <cellStyle name="Note 155 13" xfId="35043"/>
    <cellStyle name="Note 155 2" xfId="6692"/>
    <cellStyle name="Note 155 2 2" xfId="6693"/>
    <cellStyle name="Note 155 2 3" xfId="6694"/>
    <cellStyle name="Note 155 2 4" xfId="6695"/>
    <cellStyle name="Note 155 2 5" xfId="6696"/>
    <cellStyle name="Note 155 2 6" xfId="35044"/>
    <cellStyle name="Note 155 2 7" xfId="35045"/>
    <cellStyle name="Note 155 2 8" xfId="35046"/>
    <cellStyle name="Note 155 3" xfId="6697"/>
    <cellStyle name="Note 155 3 2" xfId="6698"/>
    <cellStyle name="Note 155 3 3" xfId="6699"/>
    <cellStyle name="Note 155 3 4" xfId="6700"/>
    <cellStyle name="Note 155 3 5" xfId="6701"/>
    <cellStyle name="Note 155 3 6" xfId="35047"/>
    <cellStyle name="Note 155 3 7" xfId="35048"/>
    <cellStyle name="Note 155 3 8" xfId="35049"/>
    <cellStyle name="Note 155 4" xfId="6702"/>
    <cellStyle name="Note 155 4 2" xfId="6703"/>
    <cellStyle name="Note 155 4 3" xfId="6704"/>
    <cellStyle name="Note 155 4 4" xfId="6705"/>
    <cellStyle name="Note 155 4 5" xfId="6706"/>
    <cellStyle name="Note 155 4 6" xfId="35050"/>
    <cellStyle name="Note 155 4 7" xfId="35051"/>
    <cellStyle name="Note 155 4 8" xfId="35052"/>
    <cellStyle name="Note 155 5" xfId="6707"/>
    <cellStyle name="Note 155 5 2" xfId="6708"/>
    <cellStyle name="Note 155 5 3" xfId="6709"/>
    <cellStyle name="Note 155 5 4" xfId="6710"/>
    <cellStyle name="Note 155 5 5" xfId="6711"/>
    <cellStyle name="Note 155 5 6" xfId="35053"/>
    <cellStyle name="Note 155 5 7" xfId="35054"/>
    <cellStyle name="Note 155 5 8" xfId="35055"/>
    <cellStyle name="Note 155 6" xfId="6712"/>
    <cellStyle name="Note 155 6 2" xfId="6713"/>
    <cellStyle name="Note 155 6 3" xfId="6714"/>
    <cellStyle name="Note 155 6 4" xfId="6715"/>
    <cellStyle name="Note 155 6 5" xfId="6716"/>
    <cellStyle name="Note 155 6 6" xfId="35056"/>
    <cellStyle name="Note 155 6 7" xfId="35057"/>
    <cellStyle name="Note 155 6 8" xfId="35058"/>
    <cellStyle name="Note 155 7" xfId="6717"/>
    <cellStyle name="Note 155 8" xfId="6718"/>
    <cellStyle name="Note 155 9" xfId="6719"/>
    <cellStyle name="Note 156" xfId="6720"/>
    <cellStyle name="Note 156 10" xfId="6721"/>
    <cellStyle name="Note 156 11" xfId="35059"/>
    <cellStyle name="Note 156 12" xfId="35060"/>
    <cellStyle name="Note 156 13" xfId="35061"/>
    <cellStyle name="Note 156 2" xfId="6722"/>
    <cellStyle name="Note 156 2 2" xfId="6723"/>
    <cellStyle name="Note 156 2 3" xfId="6724"/>
    <cellStyle name="Note 156 2 4" xfId="6725"/>
    <cellStyle name="Note 156 2 5" xfId="6726"/>
    <cellStyle name="Note 156 2 6" xfId="35062"/>
    <cellStyle name="Note 156 2 7" xfId="35063"/>
    <cellStyle name="Note 156 2 8" xfId="35064"/>
    <cellStyle name="Note 156 3" xfId="6727"/>
    <cellStyle name="Note 156 3 2" xfId="6728"/>
    <cellStyle name="Note 156 3 3" xfId="6729"/>
    <cellStyle name="Note 156 3 4" xfId="6730"/>
    <cellStyle name="Note 156 3 5" xfId="6731"/>
    <cellStyle name="Note 156 3 6" xfId="35065"/>
    <cellStyle name="Note 156 3 7" xfId="35066"/>
    <cellStyle name="Note 156 3 8" xfId="35067"/>
    <cellStyle name="Note 156 4" xfId="6732"/>
    <cellStyle name="Note 156 4 2" xfId="6733"/>
    <cellStyle name="Note 156 4 3" xfId="6734"/>
    <cellStyle name="Note 156 4 4" xfId="6735"/>
    <cellStyle name="Note 156 4 5" xfId="6736"/>
    <cellStyle name="Note 156 4 6" xfId="35068"/>
    <cellStyle name="Note 156 4 7" xfId="35069"/>
    <cellStyle name="Note 156 4 8" xfId="35070"/>
    <cellStyle name="Note 156 5" xfId="6737"/>
    <cellStyle name="Note 156 5 2" xfId="6738"/>
    <cellStyle name="Note 156 5 3" xfId="6739"/>
    <cellStyle name="Note 156 5 4" xfId="6740"/>
    <cellStyle name="Note 156 5 5" xfId="6741"/>
    <cellStyle name="Note 156 5 6" xfId="35071"/>
    <cellStyle name="Note 156 5 7" xfId="35072"/>
    <cellStyle name="Note 156 5 8" xfId="35073"/>
    <cellStyle name="Note 156 6" xfId="6742"/>
    <cellStyle name="Note 156 6 2" xfId="6743"/>
    <cellStyle name="Note 156 6 3" xfId="6744"/>
    <cellStyle name="Note 156 6 4" xfId="6745"/>
    <cellStyle name="Note 156 6 5" xfId="6746"/>
    <cellStyle name="Note 156 6 6" xfId="35074"/>
    <cellStyle name="Note 156 6 7" xfId="35075"/>
    <cellStyle name="Note 156 6 8" xfId="35076"/>
    <cellStyle name="Note 156 7" xfId="6747"/>
    <cellStyle name="Note 156 8" xfId="6748"/>
    <cellStyle name="Note 156 9" xfId="6749"/>
    <cellStyle name="Note 157" xfId="6750"/>
    <cellStyle name="Note 157 10" xfId="6751"/>
    <cellStyle name="Note 157 11" xfId="35077"/>
    <cellStyle name="Note 157 12" xfId="35078"/>
    <cellStyle name="Note 157 13" xfId="35079"/>
    <cellStyle name="Note 157 2" xfId="6752"/>
    <cellStyle name="Note 157 2 2" xfId="6753"/>
    <cellStyle name="Note 157 2 3" xfId="6754"/>
    <cellStyle name="Note 157 2 4" xfId="6755"/>
    <cellStyle name="Note 157 2 5" xfId="6756"/>
    <cellStyle name="Note 157 2 6" xfId="35080"/>
    <cellStyle name="Note 157 2 7" xfId="35081"/>
    <cellStyle name="Note 157 2 8" xfId="35082"/>
    <cellStyle name="Note 157 3" xfId="6757"/>
    <cellStyle name="Note 157 3 2" xfId="6758"/>
    <cellStyle name="Note 157 3 3" xfId="6759"/>
    <cellStyle name="Note 157 3 4" xfId="6760"/>
    <cellStyle name="Note 157 3 5" xfId="6761"/>
    <cellStyle name="Note 157 3 6" xfId="35083"/>
    <cellStyle name="Note 157 3 7" xfId="35084"/>
    <cellStyle name="Note 157 3 8" xfId="35085"/>
    <cellStyle name="Note 157 4" xfId="6762"/>
    <cellStyle name="Note 157 4 2" xfId="6763"/>
    <cellStyle name="Note 157 4 3" xfId="6764"/>
    <cellStyle name="Note 157 4 4" xfId="6765"/>
    <cellStyle name="Note 157 4 5" xfId="6766"/>
    <cellStyle name="Note 157 4 6" xfId="35086"/>
    <cellStyle name="Note 157 4 7" xfId="35087"/>
    <cellStyle name="Note 157 4 8" xfId="35088"/>
    <cellStyle name="Note 157 5" xfId="6767"/>
    <cellStyle name="Note 157 5 2" xfId="6768"/>
    <cellStyle name="Note 157 5 3" xfId="6769"/>
    <cellStyle name="Note 157 5 4" xfId="6770"/>
    <cellStyle name="Note 157 5 5" xfId="6771"/>
    <cellStyle name="Note 157 5 6" xfId="35089"/>
    <cellStyle name="Note 157 5 7" xfId="35090"/>
    <cellStyle name="Note 157 5 8" xfId="35091"/>
    <cellStyle name="Note 157 6" xfId="6772"/>
    <cellStyle name="Note 157 6 2" xfId="6773"/>
    <cellStyle name="Note 157 6 3" xfId="6774"/>
    <cellStyle name="Note 157 6 4" xfId="6775"/>
    <cellStyle name="Note 157 6 5" xfId="6776"/>
    <cellStyle name="Note 157 6 6" xfId="35092"/>
    <cellStyle name="Note 157 6 7" xfId="35093"/>
    <cellStyle name="Note 157 6 8" xfId="35094"/>
    <cellStyle name="Note 157 7" xfId="6777"/>
    <cellStyle name="Note 157 8" xfId="6778"/>
    <cellStyle name="Note 157 9" xfId="6779"/>
    <cellStyle name="Note 158" xfId="6780"/>
    <cellStyle name="Note 158 10" xfId="6781"/>
    <cellStyle name="Note 158 11" xfId="35095"/>
    <cellStyle name="Note 158 12" xfId="35096"/>
    <cellStyle name="Note 158 13" xfId="35097"/>
    <cellStyle name="Note 158 2" xfId="6782"/>
    <cellStyle name="Note 158 2 2" xfId="6783"/>
    <cellStyle name="Note 158 2 3" xfId="6784"/>
    <cellStyle name="Note 158 2 4" xfId="6785"/>
    <cellStyle name="Note 158 2 5" xfId="6786"/>
    <cellStyle name="Note 158 2 6" xfId="35098"/>
    <cellStyle name="Note 158 2 7" xfId="35099"/>
    <cellStyle name="Note 158 2 8" xfId="35100"/>
    <cellStyle name="Note 158 3" xfId="6787"/>
    <cellStyle name="Note 158 3 2" xfId="6788"/>
    <cellStyle name="Note 158 3 3" xfId="6789"/>
    <cellStyle name="Note 158 3 4" xfId="6790"/>
    <cellStyle name="Note 158 3 5" xfId="6791"/>
    <cellStyle name="Note 158 3 6" xfId="35101"/>
    <cellStyle name="Note 158 3 7" xfId="35102"/>
    <cellStyle name="Note 158 3 8" xfId="35103"/>
    <cellStyle name="Note 158 4" xfId="6792"/>
    <cellStyle name="Note 158 4 2" xfId="6793"/>
    <cellStyle name="Note 158 4 3" xfId="6794"/>
    <cellStyle name="Note 158 4 4" xfId="6795"/>
    <cellStyle name="Note 158 4 5" xfId="6796"/>
    <cellStyle name="Note 158 4 6" xfId="35104"/>
    <cellStyle name="Note 158 4 7" xfId="35105"/>
    <cellStyle name="Note 158 4 8" xfId="35106"/>
    <cellStyle name="Note 158 5" xfId="6797"/>
    <cellStyle name="Note 158 5 2" xfId="6798"/>
    <cellStyle name="Note 158 5 3" xfId="6799"/>
    <cellStyle name="Note 158 5 4" xfId="6800"/>
    <cellStyle name="Note 158 5 5" xfId="6801"/>
    <cellStyle name="Note 158 5 6" xfId="35107"/>
    <cellStyle name="Note 158 5 7" xfId="35108"/>
    <cellStyle name="Note 158 5 8" xfId="35109"/>
    <cellStyle name="Note 158 6" xfId="6802"/>
    <cellStyle name="Note 158 6 2" xfId="6803"/>
    <cellStyle name="Note 158 6 3" xfId="6804"/>
    <cellStyle name="Note 158 6 4" xfId="6805"/>
    <cellStyle name="Note 158 6 5" xfId="6806"/>
    <cellStyle name="Note 158 6 6" xfId="35110"/>
    <cellStyle name="Note 158 6 7" xfId="35111"/>
    <cellStyle name="Note 158 6 8" xfId="35112"/>
    <cellStyle name="Note 158 7" xfId="6807"/>
    <cellStyle name="Note 158 8" xfId="6808"/>
    <cellStyle name="Note 158 9" xfId="6809"/>
    <cellStyle name="Note 159" xfId="6810"/>
    <cellStyle name="Note 159 10" xfId="6811"/>
    <cellStyle name="Note 159 11" xfId="35113"/>
    <cellStyle name="Note 159 12" xfId="35114"/>
    <cellStyle name="Note 159 13" xfId="35115"/>
    <cellStyle name="Note 159 2" xfId="6812"/>
    <cellStyle name="Note 159 2 2" xfId="6813"/>
    <cellStyle name="Note 159 2 3" xfId="6814"/>
    <cellStyle name="Note 159 2 4" xfId="6815"/>
    <cellStyle name="Note 159 2 5" xfId="6816"/>
    <cellStyle name="Note 159 2 6" xfId="35116"/>
    <cellStyle name="Note 159 2 7" xfId="35117"/>
    <cellStyle name="Note 159 2 8" xfId="35118"/>
    <cellStyle name="Note 159 3" xfId="6817"/>
    <cellStyle name="Note 159 3 2" xfId="6818"/>
    <cellStyle name="Note 159 3 3" xfId="6819"/>
    <cellStyle name="Note 159 3 4" xfId="6820"/>
    <cellStyle name="Note 159 3 5" xfId="6821"/>
    <cellStyle name="Note 159 3 6" xfId="35119"/>
    <cellStyle name="Note 159 3 7" xfId="35120"/>
    <cellStyle name="Note 159 3 8" xfId="35121"/>
    <cellStyle name="Note 159 4" xfId="6822"/>
    <cellStyle name="Note 159 4 2" xfId="6823"/>
    <cellStyle name="Note 159 4 3" xfId="6824"/>
    <cellStyle name="Note 159 4 4" xfId="6825"/>
    <cellStyle name="Note 159 4 5" xfId="6826"/>
    <cellStyle name="Note 159 4 6" xfId="35122"/>
    <cellStyle name="Note 159 4 7" xfId="35123"/>
    <cellStyle name="Note 159 4 8" xfId="35124"/>
    <cellStyle name="Note 159 5" xfId="6827"/>
    <cellStyle name="Note 159 5 2" xfId="6828"/>
    <cellStyle name="Note 159 5 3" xfId="6829"/>
    <cellStyle name="Note 159 5 4" xfId="6830"/>
    <cellStyle name="Note 159 5 5" xfId="6831"/>
    <cellStyle name="Note 159 5 6" xfId="35125"/>
    <cellStyle name="Note 159 5 7" xfId="35126"/>
    <cellStyle name="Note 159 5 8" xfId="35127"/>
    <cellStyle name="Note 159 6" xfId="6832"/>
    <cellStyle name="Note 159 6 2" xfId="6833"/>
    <cellStyle name="Note 159 6 3" xfId="6834"/>
    <cellStyle name="Note 159 6 4" xfId="6835"/>
    <cellStyle name="Note 159 6 5" xfId="6836"/>
    <cellStyle name="Note 159 6 6" xfId="35128"/>
    <cellStyle name="Note 159 6 7" xfId="35129"/>
    <cellStyle name="Note 159 6 8" xfId="35130"/>
    <cellStyle name="Note 159 7" xfId="6837"/>
    <cellStyle name="Note 159 8" xfId="6838"/>
    <cellStyle name="Note 159 9" xfId="6839"/>
    <cellStyle name="Note 16" xfId="6840"/>
    <cellStyle name="Note 16 10" xfId="6841"/>
    <cellStyle name="Note 16 11" xfId="35131"/>
    <cellStyle name="Note 16 12" xfId="35132"/>
    <cellStyle name="Note 16 13" xfId="35133"/>
    <cellStyle name="Note 16 2" xfId="6842"/>
    <cellStyle name="Note 16 2 2" xfId="6843"/>
    <cellStyle name="Note 16 2 3" xfId="6844"/>
    <cellStyle name="Note 16 2 4" xfId="6845"/>
    <cellStyle name="Note 16 2 5" xfId="6846"/>
    <cellStyle name="Note 16 2 6" xfId="35134"/>
    <cellStyle name="Note 16 2 7" xfId="35135"/>
    <cellStyle name="Note 16 2 8" xfId="35136"/>
    <cellStyle name="Note 16 3" xfId="6847"/>
    <cellStyle name="Note 16 3 2" xfId="6848"/>
    <cellStyle name="Note 16 3 3" xfId="6849"/>
    <cellStyle name="Note 16 3 4" xfId="6850"/>
    <cellStyle name="Note 16 3 5" xfId="6851"/>
    <cellStyle name="Note 16 3 6" xfId="35137"/>
    <cellStyle name="Note 16 3 7" xfId="35138"/>
    <cellStyle name="Note 16 3 8" xfId="35139"/>
    <cellStyle name="Note 16 4" xfId="6852"/>
    <cellStyle name="Note 16 4 2" xfId="6853"/>
    <cellStyle name="Note 16 4 3" xfId="6854"/>
    <cellStyle name="Note 16 4 4" xfId="6855"/>
    <cellStyle name="Note 16 4 5" xfId="6856"/>
    <cellStyle name="Note 16 4 6" xfId="35140"/>
    <cellStyle name="Note 16 4 7" xfId="35141"/>
    <cellStyle name="Note 16 4 8" xfId="35142"/>
    <cellStyle name="Note 16 5" xfId="6857"/>
    <cellStyle name="Note 16 5 2" xfId="6858"/>
    <cellStyle name="Note 16 5 3" xfId="6859"/>
    <cellStyle name="Note 16 5 4" xfId="6860"/>
    <cellStyle name="Note 16 5 5" xfId="6861"/>
    <cellStyle name="Note 16 5 6" xfId="35143"/>
    <cellStyle name="Note 16 5 7" xfId="35144"/>
    <cellStyle name="Note 16 5 8" xfId="35145"/>
    <cellStyle name="Note 16 6" xfId="6862"/>
    <cellStyle name="Note 16 6 2" xfId="6863"/>
    <cellStyle name="Note 16 6 3" xfId="6864"/>
    <cellStyle name="Note 16 6 4" xfId="6865"/>
    <cellStyle name="Note 16 6 5" xfId="6866"/>
    <cellStyle name="Note 16 6 6" xfId="35146"/>
    <cellStyle name="Note 16 6 7" xfId="35147"/>
    <cellStyle name="Note 16 6 8" xfId="35148"/>
    <cellStyle name="Note 16 7" xfId="6867"/>
    <cellStyle name="Note 16 8" xfId="6868"/>
    <cellStyle name="Note 16 9" xfId="6869"/>
    <cellStyle name="Note 160" xfId="6870"/>
    <cellStyle name="Note 160 10" xfId="6871"/>
    <cellStyle name="Note 160 11" xfId="35149"/>
    <cellStyle name="Note 160 12" xfId="35150"/>
    <cellStyle name="Note 160 13" xfId="35151"/>
    <cellStyle name="Note 160 2" xfId="6872"/>
    <cellStyle name="Note 160 2 2" xfId="6873"/>
    <cellStyle name="Note 160 2 3" xfId="6874"/>
    <cellStyle name="Note 160 2 4" xfId="6875"/>
    <cellStyle name="Note 160 2 5" xfId="6876"/>
    <cellStyle name="Note 160 2 6" xfId="35152"/>
    <cellStyle name="Note 160 2 7" xfId="35153"/>
    <cellStyle name="Note 160 2 8" xfId="35154"/>
    <cellStyle name="Note 160 3" xfId="6877"/>
    <cellStyle name="Note 160 3 2" xfId="6878"/>
    <cellStyle name="Note 160 3 3" xfId="6879"/>
    <cellStyle name="Note 160 3 4" xfId="6880"/>
    <cellStyle name="Note 160 3 5" xfId="6881"/>
    <cellStyle name="Note 160 3 6" xfId="35155"/>
    <cellStyle name="Note 160 3 7" xfId="35156"/>
    <cellStyle name="Note 160 3 8" xfId="35157"/>
    <cellStyle name="Note 160 4" xfId="6882"/>
    <cellStyle name="Note 160 4 2" xfId="6883"/>
    <cellStyle name="Note 160 4 3" xfId="6884"/>
    <cellStyle name="Note 160 4 4" xfId="6885"/>
    <cellStyle name="Note 160 4 5" xfId="6886"/>
    <cellStyle name="Note 160 4 6" xfId="35158"/>
    <cellStyle name="Note 160 4 7" xfId="35159"/>
    <cellStyle name="Note 160 4 8" xfId="35160"/>
    <cellStyle name="Note 160 5" xfId="6887"/>
    <cellStyle name="Note 160 5 2" xfId="6888"/>
    <cellStyle name="Note 160 5 3" xfId="6889"/>
    <cellStyle name="Note 160 5 4" xfId="6890"/>
    <cellStyle name="Note 160 5 5" xfId="6891"/>
    <cellStyle name="Note 160 5 6" xfId="35161"/>
    <cellStyle name="Note 160 5 7" xfId="35162"/>
    <cellStyle name="Note 160 5 8" xfId="35163"/>
    <cellStyle name="Note 160 6" xfId="6892"/>
    <cellStyle name="Note 160 6 2" xfId="6893"/>
    <cellStyle name="Note 160 6 3" xfId="6894"/>
    <cellStyle name="Note 160 6 4" xfId="6895"/>
    <cellStyle name="Note 160 6 5" xfId="6896"/>
    <cellStyle name="Note 160 6 6" xfId="35164"/>
    <cellStyle name="Note 160 6 7" xfId="35165"/>
    <cellStyle name="Note 160 6 8" xfId="35166"/>
    <cellStyle name="Note 160 7" xfId="6897"/>
    <cellStyle name="Note 160 8" xfId="6898"/>
    <cellStyle name="Note 160 9" xfId="6899"/>
    <cellStyle name="Note 161" xfId="6900"/>
    <cellStyle name="Note 161 10" xfId="35167"/>
    <cellStyle name="Note 161 11" xfId="35168"/>
    <cellStyle name="Note 161 12" xfId="35169"/>
    <cellStyle name="Note 161 2" xfId="6901"/>
    <cellStyle name="Note 161 2 10" xfId="35170"/>
    <cellStyle name="Note 161 2 11" xfId="35171"/>
    <cellStyle name="Note 161 2 2" xfId="6902"/>
    <cellStyle name="Note 161 2 2 2" xfId="6903"/>
    <cellStyle name="Note 161 2 2 3" xfId="6904"/>
    <cellStyle name="Note 161 2 2 4" xfId="6905"/>
    <cellStyle name="Note 161 2 2 5" xfId="6906"/>
    <cellStyle name="Note 161 2 2 6" xfId="35172"/>
    <cellStyle name="Note 161 2 2 7" xfId="35173"/>
    <cellStyle name="Note 161 2 2 8" xfId="35174"/>
    <cellStyle name="Note 161 2 3" xfId="6907"/>
    <cellStyle name="Note 161 2 3 2" xfId="6908"/>
    <cellStyle name="Note 161 2 3 3" xfId="6909"/>
    <cellStyle name="Note 161 2 3 4" xfId="6910"/>
    <cellStyle name="Note 161 2 3 5" xfId="6911"/>
    <cellStyle name="Note 161 2 3 6" xfId="35175"/>
    <cellStyle name="Note 161 2 3 7" xfId="35176"/>
    <cellStyle name="Note 161 2 3 8" xfId="35177"/>
    <cellStyle name="Note 161 2 4" xfId="6912"/>
    <cellStyle name="Note 161 2 4 2" xfId="6913"/>
    <cellStyle name="Note 161 2 4 3" xfId="6914"/>
    <cellStyle name="Note 161 2 4 4" xfId="6915"/>
    <cellStyle name="Note 161 2 4 5" xfId="6916"/>
    <cellStyle name="Note 161 2 4 6" xfId="35178"/>
    <cellStyle name="Note 161 2 4 7" xfId="35179"/>
    <cellStyle name="Note 161 2 4 8" xfId="35180"/>
    <cellStyle name="Note 161 2 5" xfId="6917"/>
    <cellStyle name="Note 161 2 6" xfId="6918"/>
    <cellStyle name="Note 161 2 7" xfId="6919"/>
    <cellStyle name="Note 161 2 8" xfId="6920"/>
    <cellStyle name="Note 161 2 9" xfId="35181"/>
    <cellStyle name="Note 161 3" xfId="6921"/>
    <cellStyle name="Note 161 3 2" xfId="6922"/>
    <cellStyle name="Note 161 3 3" xfId="6923"/>
    <cellStyle name="Note 161 3 4" xfId="6924"/>
    <cellStyle name="Note 161 3 5" xfId="6925"/>
    <cellStyle name="Note 161 3 6" xfId="35182"/>
    <cellStyle name="Note 161 3 7" xfId="35183"/>
    <cellStyle name="Note 161 3 8" xfId="35184"/>
    <cellStyle name="Note 161 4" xfId="6926"/>
    <cellStyle name="Note 161 4 2" xfId="6927"/>
    <cellStyle name="Note 161 4 3" xfId="6928"/>
    <cellStyle name="Note 161 4 4" xfId="6929"/>
    <cellStyle name="Note 161 4 5" xfId="6930"/>
    <cellStyle name="Note 161 4 6" xfId="35185"/>
    <cellStyle name="Note 161 4 7" xfId="35186"/>
    <cellStyle name="Note 161 4 8" xfId="35187"/>
    <cellStyle name="Note 161 5" xfId="6931"/>
    <cellStyle name="Note 161 5 2" xfId="6932"/>
    <cellStyle name="Note 161 5 3" xfId="6933"/>
    <cellStyle name="Note 161 5 4" xfId="6934"/>
    <cellStyle name="Note 161 5 5" xfId="6935"/>
    <cellStyle name="Note 161 5 6" xfId="35188"/>
    <cellStyle name="Note 161 5 7" xfId="35189"/>
    <cellStyle name="Note 161 5 8" xfId="35190"/>
    <cellStyle name="Note 161 6" xfId="6936"/>
    <cellStyle name="Note 161 7" xfId="6937"/>
    <cellStyle name="Note 161 8" xfId="6938"/>
    <cellStyle name="Note 161 9" xfId="6939"/>
    <cellStyle name="Note 162" xfId="6940"/>
    <cellStyle name="Note 162 2" xfId="6941"/>
    <cellStyle name="Note 162 3" xfId="6942"/>
    <cellStyle name="Note 162 4" xfId="6943"/>
    <cellStyle name="Note 162 5" xfId="6944"/>
    <cellStyle name="Note 162 6" xfId="35191"/>
    <cellStyle name="Note 162 7" xfId="35192"/>
    <cellStyle name="Note 162 8" xfId="35193"/>
    <cellStyle name="Note 163" xfId="6945"/>
    <cellStyle name="Note 163 2" xfId="6946"/>
    <cellStyle name="Note 163 2 2" xfId="6947"/>
    <cellStyle name="Note 163 2 2 2" xfId="6948"/>
    <cellStyle name="Note 163 2 2 2 2" xfId="35194"/>
    <cellStyle name="Note 163 2 2 2 2 2" xfId="35195"/>
    <cellStyle name="Note 163 2 2 2 2 3" xfId="35196"/>
    <cellStyle name="Note 163 2 2 2 2 4" xfId="35197"/>
    <cellStyle name="Note 163 2 2 2 3" xfId="35198"/>
    <cellStyle name="Note 163 2 2 2 4" xfId="35199"/>
    <cellStyle name="Note 163 2 2 2 5" xfId="35200"/>
    <cellStyle name="Note 163 2 2 3" xfId="6949"/>
    <cellStyle name="Note 163 2 2 3 2" xfId="35201"/>
    <cellStyle name="Note 163 2 2 3 2 2" xfId="35202"/>
    <cellStyle name="Note 163 2 2 3 2 3" xfId="35203"/>
    <cellStyle name="Note 163 2 2 3 2 4" xfId="35204"/>
    <cellStyle name="Note 163 2 2 3 3" xfId="35205"/>
    <cellStyle name="Note 163 2 2 3 4" xfId="35206"/>
    <cellStyle name="Note 163 2 2 3 5" xfId="35207"/>
    <cellStyle name="Note 163 2 2 4" xfId="35208"/>
    <cellStyle name="Note 163 2 2 4 2" xfId="35209"/>
    <cellStyle name="Note 163 2 2 4 3" xfId="35210"/>
    <cellStyle name="Note 163 2 2 4 4" xfId="35211"/>
    <cellStyle name="Note 163 2 2 5" xfId="35212"/>
    <cellStyle name="Note 163 2 2 6" xfId="35213"/>
    <cellStyle name="Note 163 2 2 7" xfId="35214"/>
    <cellStyle name="Note 163 2 3" xfId="6950"/>
    <cellStyle name="Note 163 2 3 2" xfId="35215"/>
    <cellStyle name="Note 163 2 3 2 2" xfId="35216"/>
    <cellStyle name="Note 163 2 3 2 3" xfId="35217"/>
    <cellStyle name="Note 163 2 3 2 4" xfId="35218"/>
    <cellStyle name="Note 163 2 3 3" xfId="35219"/>
    <cellStyle name="Note 163 2 3 4" xfId="35220"/>
    <cellStyle name="Note 163 2 3 5" xfId="35221"/>
    <cellStyle name="Note 163 2 4" xfId="6951"/>
    <cellStyle name="Note 163 2 4 2" xfId="35222"/>
    <cellStyle name="Note 163 2 4 2 2" xfId="35223"/>
    <cellStyle name="Note 163 2 4 2 3" xfId="35224"/>
    <cellStyle name="Note 163 2 4 2 4" xfId="35225"/>
    <cellStyle name="Note 163 2 4 3" xfId="35226"/>
    <cellStyle name="Note 163 2 4 4" xfId="35227"/>
    <cellStyle name="Note 163 2 4 5" xfId="35228"/>
    <cellStyle name="Note 163 2 5" xfId="35229"/>
    <cellStyle name="Note 163 2 5 2" xfId="35230"/>
    <cellStyle name="Note 163 2 5 3" xfId="35231"/>
    <cellStyle name="Note 163 2 5 4" xfId="35232"/>
    <cellStyle name="Note 163 2 6" xfId="35233"/>
    <cellStyle name="Note 163 2 7" xfId="35234"/>
    <cellStyle name="Note 163 2 8" xfId="35235"/>
    <cellStyle name="Note 163 3" xfId="6952"/>
    <cellStyle name="Note 163 3 2" xfId="6953"/>
    <cellStyle name="Note 163 3 2 2" xfId="35236"/>
    <cellStyle name="Note 163 3 2 2 2" xfId="35237"/>
    <cellStyle name="Note 163 3 2 2 3" xfId="35238"/>
    <cellStyle name="Note 163 3 2 2 4" xfId="35239"/>
    <cellStyle name="Note 163 3 2 3" xfId="35240"/>
    <cellStyle name="Note 163 3 2 4" xfId="35241"/>
    <cellStyle name="Note 163 3 2 5" xfId="35242"/>
    <cellStyle name="Note 163 3 3" xfId="6954"/>
    <cellStyle name="Note 163 3 3 2" xfId="35243"/>
    <cellStyle name="Note 163 3 3 2 2" xfId="35244"/>
    <cellStyle name="Note 163 3 3 2 3" xfId="35245"/>
    <cellStyle name="Note 163 3 3 2 4" xfId="35246"/>
    <cellStyle name="Note 163 3 3 3" xfId="35247"/>
    <cellStyle name="Note 163 3 3 4" xfId="35248"/>
    <cellStyle name="Note 163 3 3 5" xfId="35249"/>
    <cellStyle name="Note 163 3 4" xfId="35250"/>
    <cellStyle name="Note 163 3 4 2" xfId="35251"/>
    <cellStyle name="Note 163 3 4 3" xfId="35252"/>
    <cellStyle name="Note 163 3 4 4" xfId="35253"/>
    <cellStyle name="Note 163 3 5" xfId="35254"/>
    <cellStyle name="Note 163 3 6" xfId="35255"/>
    <cellStyle name="Note 163 3 7" xfId="35256"/>
    <cellStyle name="Note 163 4" xfId="6955"/>
    <cellStyle name="Note 163 4 2" xfId="35257"/>
    <cellStyle name="Note 163 4 2 2" xfId="35258"/>
    <cellStyle name="Note 163 4 2 3" xfId="35259"/>
    <cellStyle name="Note 163 4 2 4" xfId="35260"/>
    <cellStyle name="Note 163 4 3" xfId="35261"/>
    <cellStyle name="Note 163 4 4" xfId="35262"/>
    <cellStyle name="Note 163 4 5" xfId="35263"/>
    <cellStyle name="Note 163 5" xfId="6956"/>
    <cellStyle name="Note 163 5 2" xfId="35264"/>
    <cellStyle name="Note 163 5 2 2" xfId="35265"/>
    <cellStyle name="Note 163 5 2 3" xfId="35266"/>
    <cellStyle name="Note 163 5 2 4" xfId="35267"/>
    <cellStyle name="Note 163 5 3" xfId="35268"/>
    <cellStyle name="Note 163 5 4" xfId="35269"/>
    <cellStyle name="Note 163 5 5" xfId="35270"/>
    <cellStyle name="Note 163 6" xfId="35271"/>
    <cellStyle name="Note 163 6 2" xfId="35272"/>
    <cellStyle name="Note 163 6 3" xfId="35273"/>
    <cellStyle name="Note 163 6 4" xfId="35274"/>
    <cellStyle name="Note 163 7" xfId="35275"/>
    <cellStyle name="Note 163 8" xfId="35276"/>
    <cellStyle name="Note 163 9" xfId="35277"/>
    <cellStyle name="Note 164" xfId="6957"/>
    <cellStyle name="Note 164 2" xfId="6958"/>
    <cellStyle name="Note 164 2 2" xfId="6959"/>
    <cellStyle name="Note 164 2 2 2" xfId="6960"/>
    <cellStyle name="Note 164 2 2 2 2" xfId="35278"/>
    <cellStyle name="Note 164 2 2 2 2 2" xfId="35279"/>
    <cellStyle name="Note 164 2 2 2 2 3" xfId="35280"/>
    <cellStyle name="Note 164 2 2 2 2 4" xfId="35281"/>
    <cellStyle name="Note 164 2 2 2 3" xfId="35282"/>
    <cellStyle name="Note 164 2 2 2 4" xfId="35283"/>
    <cellStyle name="Note 164 2 2 2 5" xfId="35284"/>
    <cellStyle name="Note 164 2 2 3" xfId="6961"/>
    <cellStyle name="Note 164 2 2 3 2" xfId="35285"/>
    <cellStyle name="Note 164 2 2 3 2 2" xfId="35286"/>
    <cellStyle name="Note 164 2 2 3 2 3" xfId="35287"/>
    <cellStyle name="Note 164 2 2 3 2 4" xfId="35288"/>
    <cellStyle name="Note 164 2 2 3 3" xfId="35289"/>
    <cellStyle name="Note 164 2 2 3 4" xfId="35290"/>
    <cellStyle name="Note 164 2 2 3 5" xfId="35291"/>
    <cellStyle name="Note 164 2 2 4" xfId="35292"/>
    <cellStyle name="Note 164 2 2 4 2" xfId="35293"/>
    <cellStyle name="Note 164 2 2 4 3" xfId="35294"/>
    <cellStyle name="Note 164 2 2 4 4" xfId="35295"/>
    <cellStyle name="Note 164 2 2 5" xfId="35296"/>
    <cellStyle name="Note 164 2 2 6" xfId="35297"/>
    <cellStyle name="Note 164 2 2 7" xfId="35298"/>
    <cellStyle name="Note 164 2 3" xfId="6962"/>
    <cellStyle name="Note 164 2 3 2" xfId="35299"/>
    <cellStyle name="Note 164 2 3 2 2" xfId="35300"/>
    <cellStyle name="Note 164 2 3 2 3" xfId="35301"/>
    <cellStyle name="Note 164 2 3 2 4" xfId="35302"/>
    <cellStyle name="Note 164 2 3 3" xfId="35303"/>
    <cellStyle name="Note 164 2 3 4" xfId="35304"/>
    <cellStyle name="Note 164 2 3 5" xfId="35305"/>
    <cellStyle name="Note 164 2 4" xfId="6963"/>
    <cellStyle name="Note 164 2 4 2" xfId="35306"/>
    <cellStyle name="Note 164 2 4 2 2" xfId="35307"/>
    <cellStyle name="Note 164 2 4 2 3" xfId="35308"/>
    <cellStyle name="Note 164 2 4 2 4" xfId="35309"/>
    <cellStyle name="Note 164 2 4 3" xfId="35310"/>
    <cellStyle name="Note 164 2 4 4" xfId="35311"/>
    <cellStyle name="Note 164 2 4 5" xfId="35312"/>
    <cellStyle name="Note 164 2 5" xfId="35313"/>
    <cellStyle name="Note 164 2 5 2" xfId="35314"/>
    <cellStyle name="Note 164 2 5 3" xfId="35315"/>
    <cellStyle name="Note 164 2 5 4" xfId="35316"/>
    <cellStyle name="Note 164 2 6" xfId="35317"/>
    <cellStyle name="Note 164 2 7" xfId="35318"/>
    <cellStyle name="Note 164 2 8" xfId="35319"/>
    <cellStyle name="Note 164 3" xfId="6964"/>
    <cellStyle name="Note 164 3 2" xfId="6965"/>
    <cellStyle name="Note 164 3 2 2" xfId="35320"/>
    <cellStyle name="Note 164 3 2 2 2" xfId="35321"/>
    <cellStyle name="Note 164 3 2 2 3" xfId="35322"/>
    <cellStyle name="Note 164 3 2 2 4" xfId="35323"/>
    <cellStyle name="Note 164 3 2 3" xfId="35324"/>
    <cellStyle name="Note 164 3 2 4" xfId="35325"/>
    <cellStyle name="Note 164 3 2 5" xfId="35326"/>
    <cellStyle name="Note 164 3 3" xfId="6966"/>
    <cellStyle name="Note 164 3 3 2" xfId="35327"/>
    <cellStyle name="Note 164 3 3 2 2" xfId="35328"/>
    <cellStyle name="Note 164 3 3 2 3" xfId="35329"/>
    <cellStyle name="Note 164 3 3 2 4" xfId="35330"/>
    <cellStyle name="Note 164 3 3 3" xfId="35331"/>
    <cellStyle name="Note 164 3 3 4" xfId="35332"/>
    <cellStyle name="Note 164 3 3 5" xfId="35333"/>
    <cellStyle name="Note 164 3 4" xfId="35334"/>
    <cellStyle name="Note 164 3 4 2" xfId="35335"/>
    <cellStyle name="Note 164 3 4 3" xfId="35336"/>
    <cellStyle name="Note 164 3 4 4" xfId="35337"/>
    <cellStyle name="Note 164 3 5" xfId="35338"/>
    <cellStyle name="Note 164 3 6" xfId="35339"/>
    <cellStyle name="Note 164 3 7" xfId="35340"/>
    <cellStyle name="Note 164 4" xfId="6967"/>
    <cellStyle name="Note 164 4 2" xfId="35341"/>
    <cellStyle name="Note 164 4 2 2" xfId="35342"/>
    <cellStyle name="Note 164 4 2 3" xfId="35343"/>
    <cellStyle name="Note 164 4 2 4" xfId="35344"/>
    <cellStyle name="Note 164 4 3" xfId="35345"/>
    <cellStyle name="Note 164 4 4" xfId="35346"/>
    <cellStyle name="Note 164 4 5" xfId="35347"/>
    <cellStyle name="Note 164 5" xfId="6968"/>
    <cellStyle name="Note 164 5 2" xfId="35348"/>
    <cellStyle name="Note 164 5 2 2" xfId="35349"/>
    <cellStyle name="Note 164 5 2 3" xfId="35350"/>
    <cellStyle name="Note 164 5 2 4" xfId="35351"/>
    <cellStyle name="Note 164 5 3" xfId="35352"/>
    <cellStyle name="Note 164 5 4" xfId="35353"/>
    <cellStyle name="Note 164 5 5" xfId="35354"/>
    <cellStyle name="Note 164 6" xfId="35355"/>
    <cellStyle name="Note 164 6 2" xfId="35356"/>
    <cellStyle name="Note 164 6 3" xfId="35357"/>
    <cellStyle name="Note 164 6 4" xfId="35358"/>
    <cellStyle name="Note 164 7" xfId="35359"/>
    <cellStyle name="Note 164 8" xfId="35360"/>
    <cellStyle name="Note 164 9" xfId="35361"/>
    <cellStyle name="Note 165" xfId="6969"/>
    <cellStyle name="Note 165 2" xfId="6970"/>
    <cellStyle name="Note 165 2 2" xfId="6971"/>
    <cellStyle name="Note 165 2 2 2" xfId="6972"/>
    <cellStyle name="Note 165 2 2 2 2" xfId="35362"/>
    <cellStyle name="Note 165 2 2 2 2 2" xfId="35363"/>
    <cellStyle name="Note 165 2 2 2 2 3" xfId="35364"/>
    <cellStyle name="Note 165 2 2 2 2 4" xfId="35365"/>
    <cellStyle name="Note 165 2 2 2 3" xfId="35366"/>
    <cellStyle name="Note 165 2 2 2 4" xfId="35367"/>
    <cellStyle name="Note 165 2 2 2 5" xfId="35368"/>
    <cellStyle name="Note 165 2 2 3" xfId="6973"/>
    <cellStyle name="Note 165 2 2 3 2" xfId="35369"/>
    <cellStyle name="Note 165 2 2 3 2 2" xfId="35370"/>
    <cellStyle name="Note 165 2 2 3 2 3" xfId="35371"/>
    <cellStyle name="Note 165 2 2 3 2 4" xfId="35372"/>
    <cellStyle name="Note 165 2 2 3 3" xfId="35373"/>
    <cellStyle name="Note 165 2 2 3 4" xfId="35374"/>
    <cellStyle name="Note 165 2 2 3 5" xfId="35375"/>
    <cellStyle name="Note 165 2 2 4" xfId="35376"/>
    <cellStyle name="Note 165 2 2 4 2" xfId="35377"/>
    <cellStyle name="Note 165 2 2 4 3" xfId="35378"/>
    <cellStyle name="Note 165 2 2 4 4" xfId="35379"/>
    <cellStyle name="Note 165 2 2 5" xfId="35380"/>
    <cellStyle name="Note 165 2 2 6" xfId="35381"/>
    <cellStyle name="Note 165 2 2 7" xfId="35382"/>
    <cellStyle name="Note 165 2 3" xfId="6974"/>
    <cellStyle name="Note 165 2 3 2" xfId="35383"/>
    <cellStyle name="Note 165 2 3 2 2" xfId="35384"/>
    <cellStyle name="Note 165 2 3 2 3" xfId="35385"/>
    <cellStyle name="Note 165 2 3 2 4" xfId="35386"/>
    <cellStyle name="Note 165 2 3 3" xfId="35387"/>
    <cellStyle name="Note 165 2 3 4" xfId="35388"/>
    <cellStyle name="Note 165 2 3 5" xfId="35389"/>
    <cellStyle name="Note 165 2 4" xfId="6975"/>
    <cellStyle name="Note 165 2 4 2" xfId="35390"/>
    <cellStyle name="Note 165 2 4 2 2" xfId="35391"/>
    <cellStyle name="Note 165 2 4 2 3" xfId="35392"/>
    <cellStyle name="Note 165 2 4 2 4" xfId="35393"/>
    <cellStyle name="Note 165 2 4 3" xfId="35394"/>
    <cellStyle name="Note 165 2 4 4" xfId="35395"/>
    <cellStyle name="Note 165 2 4 5" xfId="35396"/>
    <cellStyle name="Note 165 2 5" xfId="35397"/>
    <cellStyle name="Note 165 2 5 2" xfId="35398"/>
    <cellStyle name="Note 165 2 5 3" xfId="35399"/>
    <cellStyle name="Note 165 2 5 4" xfId="35400"/>
    <cellStyle name="Note 165 2 6" xfId="35401"/>
    <cellStyle name="Note 165 2 7" xfId="35402"/>
    <cellStyle name="Note 165 2 8" xfId="35403"/>
    <cellStyle name="Note 165 3" xfId="6976"/>
    <cellStyle name="Note 165 3 2" xfId="6977"/>
    <cellStyle name="Note 165 3 2 2" xfId="35404"/>
    <cellStyle name="Note 165 3 2 2 2" xfId="35405"/>
    <cellStyle name="Note 165 3 2 2 3" xfId="35406"/>
    <cellStyle name="Note 165 3 2 2 4" xfId="35407"/>
    <cellStyle name="Note 165 3 2 3" xfId="35408"/>
    <cellStyle name="Note 165 3 2 4" xfId="35409"/>
    <cellStyle name="Note 165 3 2 5" xfId="35410"/>
    <cellStyle name="Note 165 3 3" xfId="6978"/>
    <cellStyle name="Note 165 3 3 2" xfId="35411"/>
    <cellStyle name="Note 165 3 3 2 2" xfId="35412"/>
    <cellStyle name="Note 165 3 3 2 3" xfId="35413"/>
    <cellStyle name="Note 165 3 3 2 4" xfId="35414"/>
    <cellStyle name="Note 165 3 3 3" xfId="35415"/>
    <cellStyle name="Note 165 3 3 4" xfId="35416"/>
    <cellStyle name="Note 165 3 3 5" xfId="35417"/>
    <cellStyle name="Note 165 3 4" xfId="35418"/>
    <cellStyle name="Note 165 3 4 2" xfId="35419"/>
    <cellStyle name="Note 165 3 4 3" xfId="35420"/>
    <cellStyle name="Note 165 3 4 4" xfId="35421"/>
    <cellStyle name="Note 165 3 5" xfId="35422"/>
    <cellStyle name="Note 165 3 6" xfId="35423"/>
    <cellStyle name="Note 165 3 7" xfId="35424"/>
    <cellStyle name="Note 165 4" xfId="6979"/>
    <cellStyle name="Note 165 4 2" xfId="35425"/>
    <cellStyle name="Note 165 4 2 2" xfId="35426"/>
    <cellStyle name="Note 165 4 2 3" xfId="35427"/>
    <cellStyle name="Note 165 4 2 4" xfId="35428"/>
    <cellStyle name="Note 165 4 3" xfId="35429"/>
    <cellStyle name="Note 165 4 4" xfId="35430"/>
    <cellStyle name="Note 165 4 5" xfId="35431"/>
    <cellStyle name="Note 165 5" xfId="6980"/>
    <cellStyle name="Note 165 5 2" xfId="35432"/>
    <cellStyle name="Note 165 5 2 2" xfId="35433"/>
    <cellStyle name="Note 165 5 2 3" xfId="35434"/>
    <cellStyle name="Note 165 5 2 4" xfId="35435"/>
    <cellStyle name="Note 165 5 3" xfId="35436"/>
    <cellStyle name="Note 165 5 4" xfId="35437"/>
    <cellStyle name="Note 165 5 5" xfId="35438"/>
    <cellStyle name="Note 165 6" xfId="35439"/>
    <cellStyle name="Note 165 6 2" xfId="35440"/>
    <cellStyle name="Note 165 6 3" xfId="35441"/>
    <cellStyle name="Note 165 6 4" xfId="35442"/>
    <cellStyle name="Note 165 7" xfId="35443"/>
    <cellStyle name="Note 165 8" xfId="35444"/>
    <cellStyle name="Note 165 9" xfId="35445"/>
    <cellStyle name="Note 166" xfId="35446"/>
    <cellStyle name="Note 167" xfId="35447"/>
    <cellStyle name="Note 168" xfId="40389"/>
    <cellStyle name="Note 169" xfId="40390"/>
    <cellStyle name="Note 17" xfId="6981"/>
    <cellStyle name="Note 17 10" xfId="6982"/>
    <cellStyle name="Note 17 11" xfId="35448"/>
    <cellStyle name="Note 17 12" xfId="35449"/>
    <cellStyle name="Note 17 13" xfId="35450"/>
    <cellStyle name="Note 17 2" xfId="6983"/>
    <cellStyle name="Note 17 2 2" xfId="6984"/>
    <cellStyle name="Note 17 2 3" xfId="6985"/>
    <cellStyle name="Note 17 2 4" xfId="6986"/>
    <cellStyle name="Note 17 2 5" xfId="6987"/>
    <cellStyle name="Note 17 2 6" xfId="35451"/>
    <cellStyle name="Note 17 2 7" xfId="35452"/>
    <cellStyle name="Note 17 2 8" xfId="35453"/>
    <cellStyle name="Note 17 3" xfId="6988"/>
    <cellStyle name="Note 17 3 2" xfId="6989"/>
    <cellStyle name="Note 17 3 3" xfId="6990"/>
    <cellStyle name="Note 17 3 4" xfId="6991"/>
    <cellStyle name="Note 17 3 5" xfId="6992"/>
    <cellStyle name="Note 17 3 6" xfId="35454"/>
    <cellStyle name="Note 17 3 7" xfId="35455"/>
    <cellStyle name="Note 17 3 8" xfId="35456"/>
    <cellStyle name="Note 17 4" xfId="6993"/>
    <cellStyle name="Note 17 4 2" xfId="6994"/>
    <cellStyle name="Note 17 4 3" xfId="6995"/>
    <cellStyle name="Note 17 4 4" xfId="6996"/>
    <cellStyle name="Note 17 4 5" xfId="6997"/>
    <cellStyle name="Note 17 4 6" xfId="35457"/>
    <cellStyle name="Note 17 4 7" xfId="35458"/>
    <cellStyle name="Note 17 4 8" xfId="35459"/>
    <cellStyle name="Note 17 5" xfId="6998"/>
    <cellStyle name="Note 17 5 2" xfId="6999"/>
    <cellStyle name="Note 17 5 3" xfId="7000"/>
    <cellStyle name="Note 17 5 4" xfId="7001"/>
    <cellStyle name="Note 17 5 5" xfId="7002"/>
    <cellStyle name="Note 17 5 6" xfId="35460"/>
    <cellStyle name="Note 17 5 7" xfId="35461"/>
    <cellStyle name="Note 17 5 8" xfId="35462"/>
    <cellStyle name="Note 17 6" xfId="7003"/>
    <cellStyle name="Note 17 6 2" xfId="7004"/>
    <cellStyle name="Note 17 6 3" xfId="7005"/>
    <cellStyle name="Note 17 6 4" xfId="7006"/>
    <cellStyle name="Note 17 6 5" xfId="7007"/>
    <cellStyle name="Note 17 6 6" xfId="35463"/>
    <cellStyle name="Note 17 6 7" xfId="35464"/>
    <cellStyle name="Note 17 6 8" xfId="35465"/>
    <cellStyle name="Note 17 7" xfId="7008"/>
    <cellStyle name="Note 17 8" xfId="7009"/>
    <cellStyle name="Note 17 9" xfId="7010"/>
    <cellStyle name="Note 170" xfId="40391"/>
    <cellStyle name="Note 18" xfId="7011"/>
    <cellStyle name="Note 18 10" xfId="7012"/>
    <cellStyle name="Note 18 11" xfId="35466"/>
    <cellStyle name="Note 18 12" xfId="35467"/>
    <cellStyle name="Note 18 13" xfId="35468"/>
    <cellStyle name="Note 18 2" xfId="7013"/>
    <cellStyle name="Note 18 2 2" xfId="7014"/>
    <cellStyle name="Note 18 2 3" xfId="7015"/>
    <cellStyle name="Note 18 2 4" xfId="7016"/>
    <cellStyle name="Note 18 2 5" xfId="7017"/>
    <cellStyle name="Note 18 2 6" xfId="35469"/>
    <cellStyle name="Note 18 2 7" xfId="35470"/>
    <cellStyle name="Note 18 2 8" xfId="35471"/>
    <cellStyle name="Note 18 3" xfId="7018"/>
    <cellStyle name="Note 18 3 2" xfId="7019"/>
    <cellStyle name="Note 18 3 3" xfId="7020"/>
    <cellStyle name="Note 18 3 4" xfId="7021"/>
    <cellStyle name="Note 18 3 5" xfId="7022"/>
    <cellStyle name="Note 18 3 6" xfId="35472"/>
    <cellStyle name="Note 18 3 7" xfId="35473"/>
    <cellStyle name="Note 18 3 8" xfId="35474"/>
    <cellStyle name="Note 18 4" xfId="7023"/>
    <cellStyle name="Note 18 4 2" xfId="7024"/>
    <cellStyle name="Note 18 4 3" xfId="7025"/>
    <cellStyle name="Note 18 4 4" xfId="7026"/>
    <cellStyle name="Note 18 4 5" xfId="7027"/>
    <cellStyle name="Note 18 4 6" xfId="35475"/>
    <cellStyle name="Note 18 4 7" xfId="35476"/>
    <cellStyle name="Note 18 4 8" xfId="35477"/>
    <cellStyle name="Note 18 5" xfId="7028"/>
    <cellStyle name="Note 18 5 2" xfId="7029"/>
    <cellStyle name="Note 18 5 3" xfId="7030"/>
    <cellStyle name="Note 18 5 4" xfId="7031"/>
    <cellStyle name="Note 18 5 5" xfId="7032"/>
    <cellStyle name="Note 18 5 6" xfId="35478"/>
    <cellStyle name="Note 18 5 7" xfId="35479"/>
    <cellStyle name="Note 18 5 8" xfId="35480"/>
    <cellStyle name="Note 18 6" xfId="7033"/>
    <cellStyle name="Note 18 6 2" xfId="7034"/>
    <cellStyle name="Note 18 6 3" xfId="7035"/>
    <cellStyle name="Note 18 6 4" xfId="7036"/>
    <cellStyle name="Note 18 6 5" xfId="7037"/>
    <cellStyle name="Note 18 6 6" xfId="35481"/>
    <cellStyle name="Note 18 6 7" xfId="35482"/>
    <cellStyle name="Note 18 6 8" xfId="35483"/>
    <cellStyle name="Note 18 7" xfId="7038"/>
    <cellStyle name="Note 18 8" xfId="7039"/>
    <cellStyle name="Note 18 9" xfId="7040"/>
    <cellStyle name="Note 19" xfId="7041"/>
    <cellStyle name="Note 19 10" xfId="7042"/>
    <cellStyle name="Note 19 11" xfId="35484"/>
    <cellStyle name="Note 19 12" xfId="35485"/>
    <cellStyle name="Note 19 13" xfId="35486"/>
    <cellStyle name="Note 19 2" xfId="7043"/>
    <cellStyle name="Note 19 2 2" xfId="7044"/>
    <cellStyle name="Note 19 2 3" xfId="7045"/>
    <cellStyle name="Note 19 2 4" xfId="7046"/>
    <cellStyle name="Note 19 2 5" xfId="7047"/>
    <cellStyle name="Note 19 2 6" xfId="35487"/>
    <cellStyle name="Note 19 2 7" xfId="35488"/>
    <cellStyle name="Note 19 2 8" xfId="35489"/>
    <cellStyle name="Note 19 3" xfId="7048"/>
    <cellStyle name="Note 19 3 2" xfId="7049"/>
    <cellStyle name="Note 19 3 3" xfId="7050"/>
    <cellStyle name="Note 19 3 4" xfId="7051"/>
    <cellStyle name="Note 19 3 5" xfId="7052"/>
    <cellStyle name="Note 19 3 6" xfId="35490"/>
    <cellStyle name="Note 19 3 7" xfId="35491"/>
    <cellStyle name="Note 19 3 8" xfId="35492"/>
    <cellStyle name="Note 19 4" xfId="7053"/>
    <cellStyle name="Note 19 4 2" xfId="7054"/>
    <cellStyle name="Note 19 4 3" xfId="7055"/>
    <cellStyle name="Note 19 4 4" xfId="7056"/>
    <cellStyle name="Note 19 4 5" xfId="7057"/>
    <cellStyle name="Note 19 4 6" xfId="35493"/>
    <cellStyle name="Note 19 4 7" xfId="35494"/>
    <cellStyle name="Note 19 4 8" xfId="35495"/>
    <cellStyle name="Note 19 5" xfId="7058"/>
    <cellStyle name="Note 19 5 2" xfId="7059"/>
    <cellStyle name="Note 19 5 3" xfId="7060"/>
    <cellStyle name="Note 19 5 4" xfId="7061"/>
    <cellStyle name="Note 19 5 5" xfId="7062"/>
    <cellStyle name="Note 19 5 6" xfId="35496"/>
    <cellStyle name="Note 19 5 7" xfId="35497"/>
    <cellStyle name="Note 19 5 8" xfId="35498"/>
    <cellStyle name="Note 19 6" xfId="7063"/>
    <cellStyle name="Note 19 6 2" xfId="7064"/>
    <cellStyle name="Note 19 6 3" xfId="7065"/>
    <cellStyle name="Note 19 6 4" xfId="7066"/>
    <cellStyle name="Note 19 6 5" xfId="7067"/>
    <cellStyle name="Note 19 6 6" xfId="35499"/>
    <cellStyle name="Note 19 6 7" xfId="35500"/>
    <cellStyle name="Note 19 6 8" xfId="35501"/>
    <cellStyle name="Note 19 7" xfId="7068"/>
    <cellStyle name="Note 19 8" xfId="7069"/>
    <cellStyle name="Note 19 9" xfId="7070"/>
    <cellStyle name="Note 2" xfId="7071"/>
    <cellStyle name="Note 2 10" xfId="7072"/>
    <cellStyle name="Note 2 10 10" xfId="7073"/>
    <cellStyle name="Note 2 10 11" xfId="35502"/>
    <cellStyle name="Note 2 10 12" xfId="35503"/>
    <cellStyle name="Note 2 10 13" xfId="35504"/>
    <cellStyle name="Note 2 10 2" xfId="7074"/>
    <cellStyle name="Note 2 10 2 2" xfId="7075"/>
    <cellStyle name="Note 2 10 2 3" xfId="7076"/>
    <cellStyle name="Note 2 10 2 4" xfId="7077"/>
    <cellStyle name="Note 2 10 2 5" xfId="7078"/>
    <cellStyle name="Note 2 10 2 6" xfId="35505"/>
    <cellStyle name="Note 2 10 2 7" xfId="35506"/>
    <cellStyle name="Note 2 10 2 8" xfId="35507"/>
    <cellStyle name="Note 2 10 3" xfId="7079"/>
    <cellStyle name="Note 2 10 3 2" xfId="7080"/>
    <cellStyle name="Note 2 10 3 3" xfId="7081"/>
    <cellStyle name="Note 2 10 3 4" xfId="7082"/>
    <cellStyle name="Note 2 10 3 5" xfId="7083"/>
    <cellStyle name="Note 2 10 3 6" xfId="35508"/>
    <cellStyle name="Note 2 10 3 7" xfId="35509"/>
    <cellStyle name="Note 2 10 3 8" xfId="35510"/>
    <cellStyle name="Note 2 10 4" xfId="7084"/>
    <cellStyle name="Note 2 10 4 2" xfId="7085"/>
    <cellStyle name="Note 2 10 4 3" xfId="7086"/>
    <cellStyle name="Note 2 10 4 4" xfId="7087"/>
    <cellStyle name="Note 2 10 4 5" xfId="7088"/>
    <cellStyle name="Note 2 10 4 6" xfId="35511"/>
    <cellStyle name="Note 2 10 4 7" xfId="35512"/>
    <cellStyle name="Note 2 10 4 8" xfId="35513"/>
    <cellStyle name="Note 2 10 5" xfId="7089"/>
    <cellStyle name="Note 2 10 5 2" xfId="7090"/>
    <cellStyle name="Note 2 10 5 3" xfId="7091"/>
    <cellStyle name="Note 2 10 5 4" xfId="7092"/>
    <cellStyle name="Note 2 10 5 5" xfId="7093"/>
    <cellStyle name="Note 2 10 5 6" xfId="35514"/>
    <cellStyle name="Note 2 10 5 7" xfId="35515"/>
    <cellStyle name="Note 2 10 5 8" xfId="35516"/>
    <cellStyle name="Note 2 10 6" xfId="7094"/>
    <cellStyle name="Note 2 10 6 2" xfId="7095"/>
    <cellStyle name="Note 2 10 6 3" xfId="7096"/>
    <cellStyle name="Note 2 10 6 4" xfId="7097"/>
    <cellStyle name="Note 2 10 6 5" xfId="7098"/>
    <cellStyle name="Note 2 10 6 6" xfId="35517"/>
    <cellStyle name="Note 2 10 6 7" xfId="35518"/>
    <cellStyle name="Note 2 10 6 8" xfId="35519"/>
    <cellStyle name="Note 2 10 7" xfId="7099"/>
    <cellStyle name="Note 2 10 8" xfId="7100"/>
    <cellStyle name="Note 2 10 9" xfId="7101"/>
    <cellStyle name="Note 2 11" xfId="7102"/>
    <cellStyle name="Note 2 11 10" xfId="7103"/>
    <cellStyle name="Note 2 11 11" xfId="35520"/>
    <cellStyle name="Note 2 11 12" xfId="35521"/>
    <cellStyle name="Note 2 11 13" xfId="35522"/>
    <cellStyle name="Note 2 11 2" xfId="7104"/>
    <cellStyle name="Note 2 11 2 2" xfId="7105"/>
    <cellStyle name="Note 2 11 2 3" xfId="7106"/>
    <cellStyle name="Note 2 11 2 4" xfId="7107"/>
    <cellStyle name="Note 2 11 2 5" xfId="7108"/>
    <cellStyle name="Note 2 11 2 6" xfId="35523"/>
    <cellStyle name="Note 2 11 2 7" xfId="35524"/>
    <cellStyle name="Note 2 11 2 8" xfId="35525"/>
    <cellStyle name="Note 2 11 3" xfId="7109"/>
    <cellStyle name="Note 2 11 3 2" xfId="7110"/>
    <cellStyle name="Note 2 11 3 3" xfId="7111"/>
    <cellStyle name="Note 2 11 3 4" xfId="7112"/>
    <cellStyle name="Note 2 11 3 5" xfId="7113"/>
    <cellStyle name="Note 2 11 3 6" xfId="35526"/>
    <cellStyle name="Note 2 11 3 7" xfId="35527"/>
    <cellStyle name="Note 2 11 3 8" xfId="35528"/>
    <cellStyle name="Note 2 11 4" xfId="7114"/>
    <cellStyle name="Note 2 11 4 2" xfId="7115"/>
    <cellStyle name="Note 2 11 4 3" xfId="7116"/>
    <cellStyle name="Note 2 11 4 4" xfId="7117"/>
    <cellStyle name="Note 2 11 4 5" xfId="7118"/>
    <cellStyle name="Note 2 11 4 6" xfId="35529"/>
    <cellStyle name="Note 2 11 4 7" xfId="35530"/>
    <cellStyle name="Note 2 11 4 8" xfId="35531"/>
    <cellStyle name="Note 2 11 5" xfId="7119"/>
    <cellStyle name="Note 2 11 5 2" xfId="7120"/>
    <cellStyle name="Note 2 11 5 3" xfId="7121"/>
    <cellStyle name="Note 2 11 5 4" xfId="7122"/>
    <cellStyle name="Note 2 11 5 5" xfId="7123"/>
    <cellStyle name="Note 2 11 5 6" xfId="35532"/>
    <cellStyle name="Note 2 11 5 7" xfId="35533"/>
    <cellStyle name="Note 2 11 5 8" xfId="35534"/>
    <cellStyle name="Note 2 11 6" xfId="7124"/>
    <cellStyle name="Note 2 11 6 2" xfId="7125"/>
    <cellStyle name="Note 2 11 6 3" xfId="7126"/>
    <cellStyle name="Note 2 11 6 4" xfId="7127"/>
    <cellStyle name="Note 2 11 6 5" xfId="7128"/>
    <cellStyle name="Note 2 11 6 6" xfId="35535"/>
    <cellStyle name="Note 2 11 6 7" xfId="35536"/>
    <cellStyle name="Note 2 11 6 8" xfId="35537"/>
    <cellStyle name="Note 2 11 7" xfId="7129"/>
    <cellStyle name="Note 2 11 8" xfId="7130"/>
    <cellStyle name="Note 2 11 9" xfId="7131"/>
    <cellStyle name="Note 2 12" xfId="7132"/>
    <cellStyle name="Note 2 12 10" xfId="7133"/>
    <cellStyle name="Note 2 12 11" xfId="35538"/>
    <cellStyle name="Note 2 12 12" xfId="35539"/>
    <cellStyle name="Note 2 12 13" xfId="35540"/>
    <cellStyle name="Note 2 12 2" xfId="7134"/>
    <cellStyle name="Note 2 12 2 2" xfId="7135"/>
    <cellStyle name="Note 2 12 2 3" xfId="7136"/>
    <cellStyle name="Note 2 12 2 4" xfId="7137"/>
    <cellStyle name="Note 2 12 2 5" xfId="7138"/>
    <cellStyle name="Note 2 12 2 6" xfId="35541"/>
    <cellStyle name="Note 2 12 2 7" xfId="35542"/>
    <cellStyle name="Note 2 12 2 8" xfId="35543"/>
    <cellStyle name="Note 2 12 3" xfId="7139"/>
    <cellStyle name="Note 2 12 3 2" xfId="7140"/>
    <cellStyle name="Note 2 12 3 3" xfId="7141"/>
    <cellStyle name="Note 2 12 3 4" xfId="7142"/>
    <cellStyle name="Note 2 12 3 5" xfId="7143"/>
    <cellStyle name="Note 2 12 3 6" xfId="35544"/>
    <cellStyle name="Note 2 12 3 7" xfId="35545"/>
    <cellStyle name="Note 2 12 3 8" xfId="35546"/>
    <cellStyle name="Note 2 12 4" xfId="7144"/>
    <cellStyle name="Note 2 12 4 2" xfId="7145"/>
    <cellStyle name="Note 2 12 4 3" xfId="7146"/>
    <cellStyle name="Note 2 12 4 4" xfId="7147"/>
    <cellStyle name="Note 2 12 4 5" xfId="7148"/>
    <cellStyle name="Note 2 12 4 6" xfId="35547"/>
    <cellStyle name="Note 2 12 4 7" xfId="35548"/>
    <cellStyle name="Note 2 12 4 8" xfId="35549"/>
    <cellStyle name="Note 2 12 5" xfId="7149"/>
    <cellStyle name="Note 2 12 5 2" xfId="7150"/>
    <cellStyle name="Note 2 12 5 3" xfId="7151"/>
    <cellStyle name="Note 2 12 5 4" xfId="7152"/>
    <cellStyle name="Note 2 12 5 5" xfId="7153"/>
    <cellStyle name="Note 2 12 5 6" xfId="35550"/>
    <cellStyle name="Note 2 12 5 7" xfId="35551"/>
    <cellStyle name="Note 2 12 5 8" xfId="35552"/>
    <cellStyle name="Note 2 12 6" xfId="7154"/>
    <cellStyle name="Note 2 12 6 2" xfId="7155"/>
    <cellStyle name="Note 2 12 6 3" xfId="7156"/>
    <cellStyle name="Note 2 12 6 4" xfId="7157"/>
    <cellStyle name="Note 2 12 6 5" xfId="7158"/>
    <cellStyle name="Note 2 12 6 6" xfId="35553"/>
    <cellStyle name="Note 2 12 6 7" xfId="35554"/>
    <cellStyle name="Note 2 12 6 8" xfId="35555"/>
    <cellStyle name="Note 2 12 7" xfId="7159"/>
    <cellStyle name="Note 2 12 8" xfId="7160"/>
    <cellStyle name="Note 2 12 9" xfId="7161"/>
    <cellStyle name="Note 2 13" xfId="7162"/>
    <cellStyle name="Note 2 13 10" xfId="7163"/>
    <cellStyle name="Note 2 13 11" xfId="35556"/>
    <cellStyle name="Note 2 13 12" xfId="35557"/>
    <cellStyle name="Note 2 13 13" xfId="35558"/>
    <cellStyle name="Note 2 13 2" xfId="7164"/>
    <cellStyle name="Note 2 13 2 2" xfId="7165"/>
    <cellStyle name="Note 2 13 2 3" xfId="7166"/>
    <cellStyle name="Note 2 13 2 4" xfId="7167"/>
    <cellStyle name="Note 2 13 2 5" xfId="7168"/>
    <cellStyle name="Note 2 13 2 6" xfId="35559"/>
    <cellStyle name="Note 2 13 2 7" xfId="35560"/>
    <cellStyle name="Note 2 13 2 8" xfId="35561"/>
    <cellStyle name="Note 2 13 3" xfId="7169"/>
    <cellStyle name="Note 2 13 3 2" xfId="7170"/>
    <cellStyle name="Note 2 13 3 3" xfId="7171"/>
    <cellStyle name="Note 2 13 3 4" xfId="7172"/>
    <cellStyle name="Note 2 13 3 5" xfId="7173"/>
    <cellStyle name="Note 2 13 3 6" xfId="35562"/>
    <cellStyle name="Note 2 13 3 7" xfId="35563"/>
    <cellStyle name="Note 2 13 3 8" xfId="35564"/>
    <cellStyle name="Note 2 13 4" xfId="7174"/>
    <cellStyle name="Note 2 13 4 2" xfId="7175"/>
    <cellStyle name="Note 2 13 4 3" xfId="7176"/>
    <cellStyle name="Note 2 13 4 4" xfId="7177"/>
    <cellStyle name="Note 2 13 4 5" xfId="7178"/>
    <cellStyle name="Note 2 13 4 6" xfId="35565"/>
    <cellStyle name="Note 2 13 4 7" xfId="35566"/>
    <cellStyle name="Note 2 13 4 8" xfId="35567"/>
    <cellStyle name="Note 2 13 5" xfId="7179"/>
    <cellStyle name="Note 2 13 5 2" xfId="7180"/>
    <cellStyle name="Note 2 13 5 3" xfId="7181"/>
    <cellStyle name="Note 2 13 5 4" xfId="7182"/>
    <cellStyle name="Note 2 13 5 5" xfId="7183"/>
    <cellStyle name="Note 2 13 5 6" xfId="35568"/>
    <cellStyle name="Note 2 13 5 7" xfId="35569"/>
    <cellStyle name="Note 2 13 5 8" xfId="35570"/>
    <cellStyle name="Note 2 13 6" xfId="7184"/>
    <cellStyle name="Note 2 13 6 2" xfId="7185"/>
    <cellStyle name="Note 2 13 6 3" xfId="7186"/>
    <cellStyle name="Note 2 13 6 4" xfId="7187"/>
    <cellStyle name="Note 2 13 6 5" xfId="7188"/>
    <cellStyle name="Note 2 13 6 6" xfId="35571"/>
    <cellStyle name="Note 2 13 6 7" xfId="35572"/>
    <cellStyle name="Note 2 13 6 8" xfId="35573"/>
    <cellStyle name="Note 2 13 7" xfId="7189"/>
    <cellStyle name="Note 2 13 8" xfId="7190"/>
    <cellStyle name="Note 2 13 9" xfId="7191"/>
    <cellStyle name="Note 2 14" xfId="7192"/>
    <cellStyle name="Note 2 14 10" xfId="7193"/>
    <cellStyle name="Note 2 14 11" xfId="35574"/>
    <cellStyle name="Note 2 14 12" xfId="35575"/>
    <cellStyle name="Note 2 14 13" xfId="35576"/>
    <cellStyle name="Note 2 14 2" xfId="7194"/>
    <cellStyle name="Note 2 14 2 2" xfId="7195"/>
    <cellStyle name="Note 2 14 2 3" xfId="7196"/>
    <cellStyle name="Note 2 14 2 4" xfId="7197"/>
    <cellStyle name="Note 2 14 2 5" xfId="7198"/>
    <cellStyle name="Note 2 14 2 6" xfId="35577"/>
    <cellStyle name="Note 2 14 2 7" xfId="35578"/>
    <cellStyle name="Note 2 14 2 8" xfId="35579"/>
    <cellStyle name="Note 2 14 3" xfId="7199"/>
    <cellStyle name="Note 2 14 3 2" xfId="7200"/>
    <cellStyle name="Note 2 14 3 3" xfId="7201"/>
    <cellStyle name="Note 2 14 3 4" xfId="7202"/>
    <cellStyle name="Note 2 14 3 5" xfId="7203"/>
    <cellStyle name="Note 2 14 3 6" xfId="35580"/>
    <cellStyle name="Note 2 14 3 7" xfId="35581"/>
    <cellStyle name="Note 2 14 3 8" xfId="35582"/>
    <cellStyle name="Note 2 14 4" xfId="7204"/>
    <cellStyle name="Note 2 14 4 2" xfId="7205"/>
    <cellStyle name="Note 2 14 4 3" xfId="7206"/>
    <cellStyle name="Note 2 14 4 4" xfId="7207"/>
    <cellStyle name="Note 2 14 4 5" xfId="7208"/>
    <cellStyle name="Note 2 14 4 6" xfId="35583"/>
    <cellStyle name="Note 2 14 4 7" xfId="35584"/>
    <cellStyle name="Note 2 14 4 8" xfId="35585"/>
    <cellStyle name="Note 2 14 5" xfId="7209"/>
    <cellStyle name="Note 2 14 5 2" xfId="7210"/>
    <cellStyle name="Note 2 14 5 3" xfId="7211"/>
    <cellStyle name="Note 2 14 5 4" xfId="7212"/>
    <cellStyle name="Note 2 14 5 5" xfId="7213"/>
    <cellStyle name="Note 2 14 5 6" xfId="35586"/>
    <cellStyle name="Note 2 14 5 7" xfId="35587"/>
    <cellStyle name="Note 2 14 5 8" xfId="35588"/>
    <cellStyle name="Note 2 14 6" xfId="7214"/>
    <cellStyle name="Note 2 14 6 2" xfId="7215"/>
    <cellStyle name="Note 2 14 6 3" xfId="7216"/>
    <cellStyle name="Note 2 14 6 4" xfId="7217"/>
    <cellStyle name="Note 2 14 6 5" xfId="7218"/>
    <cellStyle name="Note 2 14 6 6" xfId="35589"/>
    <cellStyle name="Note 2 14 6 7" xfId="35590"/>
    <cellStyle name="Note 2 14 6 8" xfId="35591"/>
    <cellStyle name="Note 2 14 7" xfId="7219"/>
    <cellStyle name="Note 2 14 8" xfId="7220"/>
    <cellStyle name="Note 2 14 9" xfId="7221"/>
    <cellStyle name="Note 2 15" xfId="7222"/>
    <cellStyle name="Note 2 15 2" xfId="7223"/>
    <cellStyle name="Note 2 15 3" xfId="7224"/>
    <cellStyle name="Note 2 15 4" xfId="7225"/>
    <cellStyle name="Note 2 15 5" xfId="7226"/>
    <cellStyle name="Note 2 15 6" xfId="35592"/>
    <cellStyle name="Note 2 15 7" xfId="35593"/>
    <cellStyle name="Note 2 15 8" xfId="35594"/>
    <cellStyle name="Note 2 16" xfId="7227"/>
    <cellStyle name="Note 2 16 2" xfId="7228"/>
    <cellStyle name="Note 2 16 3" xfId="7229"/>
    <cellStyle name="Note 2 16 4" xfId="7230"/>
    <cellStyle name="Note 2 16 5" xfId="7231"/>
    <cellStyle name="Note 2 16 6" xfId="35595"/>
    <cellStyle name="Note 2 16 7" xfId="35596"/>
    <cellStyle name="Note 2 16 8" xfId="35597"/>
    <cellStyle name="Note 2 17" xfId="7232"/>
    <cellStyle name="Note 2 17 2" xfId="7233"/>
    <cellStyle name="Note 2 17 3" xfId="7234"/>
    <cellStyle name="Note 2 17 4" xfId="7235"/>
    <cellStyle name="Note 2 17 5" xfId="7236"/>
    <cellStyle name="Note 2 17 6" xfId="35598"/>
    <cellStyle name="Note 2 17 7" xfId="35599"/>
    <cellStyle name="Note 2 17 8" xfId="35600"/>
    <cellStyle name="Note 2 18" xfId="7237"/>
    <cellStyle name="Note 2 18 2" xfId="7238"/>
    <cellStyle name="Note 2 18 3" xfId="7239"/>
    <cellStyle name="Note 2 18 4" xfId="7240"/>
    <cellStyle name="Note 2 18 5" xfId="7241"/>
    <cellStyle name="Note 2 18 6" xfId="35601"/>
    <cellStyle name="Note 2 18 7" xfId="35602"/>
    <cellStyle name="Note 2 18 8" xfId="35603"/>
    <cellStyle name="Note 2 19" xfId="7242"/>
    <cellStyle name="Note 2 19 2" xfId="7243"/>
    <cellStyle name="Note 2 19 3" xfId="7244"/>
    <cellStyle name="Note 2 19 4" xfId="7245"/>
    <cellStyle name="Note 2 19 5" xfId="7246"/>
    <cellStyle name="Note 2 19 6" xfId="35604"/>
    <cellStyle name="Note 2 19 7" xfId="35605"/>
    <cellStyle name="Note 2 19 8" xfId="35606"/>
    <cellStyle name="Note 2 2" xfId="7247"/>
    <cellStyle name="Note 2 2 10" xfId="7248"/>
    <cellStyle name="Note 2 2 11" xfId="35607"/>
    <cellStyle name="Note 2 2 12" xfId="35608"/>
    <cellStyle name="Note 2 2 13" xfId="35609"/>
    <cellStyle name="Note 2 2 14" xfId="35610"/>
    <cellStyle name="Note 2 2 2" xfId="7249"/>
    <cellStyle name="Note 2 2 2 2" xfId="7250"/>
    <cellStyle name="Note 2 2 2 3" xfId="7251"/>
    <cellStyle name="Note 2 2 2 4" xfId="7252"/>
    <cellStyle name="Note 2 2 2 5" xfId="7253"/>
    <cellStyle name="Note 2 2 2 6" xfId="35611"/>
    <cellStyle name="Note 2 2 2 7" xfId="35612"/>
    <cellStyle name="Note 2 2 2 8" xfId="35613"/>
    <cellStyle name="Note 2 2 3" xfId="7254"/>
    <cellStyle name="Note 2 2 3 2" xfId="7255"/>
    <cellStyle name="Note 2 2 3 3" xfId="7256"/>
    <cellStyle name="Note 2 2 3 4" xfId="7257"/>
    <cellStyle name="Note 2 2 3 5" xfId="7258"/>
    <cellStyle name="Note 2 2 3 6" xfId="35614"/>
    <cellStyle name="Note 2 2 3 7" xfId="35615"/>
    <cellStyle name="Note 2 2 3 8" xfId="35616"/>
    <cellStyle name="Note 2 2 4" xfId="7259"/>
    <cellStyle name="Note 2 2 4 2" xfId="7260"/>
    <cellStyle name="Note 2 2 4 3" xfId="7261"/>
    <cellStyle name="Note 2 2 4 4" xfId="7262"/>
    <cellStyle name="Note 2 2 4 5" xfId="7263"/>
    <cellStyle name="Note 2 2 4 6" xfId="35617"/>
    <cellStyle name="Note 2 2 4 7" xfId="35618"/>
    <cellStyle name="Note 2 2 4 8" xfId="35619"/>
    <cellStyle name="Note 2 2 5" xfId="7264"/>
    <cellStyle name="Note 2 2 5 2" xfId="7265"/>
    <cellStyle name="Note 2 2 5 3" xfId="7266"/>
    <cellStyle name="Note 2 2 5 4" xfId="7267"/>
    <cellStyle name="Note 2 2 5 5" xfId="7268"/>
    <cellStyle name="Note 2 2 5 6" xfId="35620"/>
    <cellStyle name="Note 2 2 5 7" xfId="35621"/>
    <cellStyle name="Note 2 2 5 8" xfId="35622"/>
    <cellStyle name="Note 2 2 6" xfId="7269"/>
    <cellStyle name="Note 2 2 6 2" xfId="7270"/>
    <cellStyle name="Note 2 2 6 3" xfId="7271"/>
    <cellStyle name="Note 2 2 6 4" xfId="7272"/>
    <cellStyle name="Note 2 2 6 5" xfId="7273"/>
    <cellStyle name="Note 2 2 6 6" xfId="35623"/>
    <cellStyle name="Note 2 2 6 7" xfId="35624"/>
    <cellStyle name="Note 2 2 6 8" xfId="35625"/>
    <cellStyle name="Note 2 2 7" xfId="7274"/>
    <cellStyle name="Note 2 2 8" xfId="7275"/>
    <cellStyle name="Note 2 2 9" xfId="7276"/>
    <cellStyle name="Note 2 20" xfId="7277"/>
    <cellStyle name="Note 2 21" xfId="7278"/>
    <cellStyle name="Note 2 22" xfId="7279"/>
    <cellStyle name="Note 2 23" xfId="7280"/>
    <cellStyle name="Note 2 24" xfId="35626"/>
    <cellStyle name="Note 2 25" xfId="35627"/>
    <cellStyle name="Note 2 26" xfId="35628"/>
    <cellStyle name="Note 2 27" xfId="35629"/>
    <cellStyle name="Note 2 28" xfId="35630"/>
    <cellStyle name="Note 2 29" xfId="35631"/>
    <cellStyle name="Note 2 3" xfId="7281"/>
    <cellStyle name="Note 2 3 10" xfId="7282"/>
    <cellStyle name="Note 2 3 11" xfId="35632"/>
    <cellStyle name="Note 2 3 12" xfId="35633"/>
    <cellStyle name="Note 2 3 13" xfId="35634"/>
    <cellStyle name="Note 2 3 14" xfId="35635"/>
    <cellStyle name="Note 2 3 2" xfId="7283"/>
    <cellStyle name="Note 2 3 2 2" xfId="7284"/>
    <cellStyle name="Note 2 3 2 3" xfId="7285"/>
    <cellStyle name="Note 2 3 2 4" xfId="7286"/>
    <cellStyle name="Note 2 3 2 5" xfId="7287"/>
    <cellStyle name="Note 2 3 2 6" xfId="35636"/>
    <cellStyle name="Note 2 3 2 7" xfId="35637"/>
    <cellStyle name="Note 2 3 2 8" xfId="35638"/>
    <cellStyle name="Note 2 3 3" xfId="7288"/>
    <cellStyle name="Note 2 3 3 2" xfId="7289"/>
    <cellStyle name="Note 2 3 3 3" xfId="7290"/>
    <cellStyle name="Note 2 3 3 4" xfId="7291"/>
    <cellStyle name="Note 2 3 3 5" xfId="7292"/>
    <cellStyle name="Note 2 3 3 6" xfId="35639"/>
    <cellStyle name="Note 2 3 3 7" xfId="35640"/>
    <cellStyle name="Note 2 3 3 8" xfId="35641"/>
    <cellStyle name="Note 2 3 4" xfId="7293"/>
    <cellStyle name="Note 2 3 4 2" xfId="7294"/>
    <cellStyle name="Note 2 3 4 3" xfId="7295"/>
    <cellStyle name="Note 2 3 4 4" xfId="7296"/>
    <cellStyle name="Note 2 3 4 5" xfId="7297"/>
    <cellStyle name="Note 2 3 4 6" xfId="35642"/>
    <cellStyle name="Note 2 3 4 7" xfId="35643"/>
    <cellStyle name="Note 2 3 4 8" xfId="35644"/>
    <cellStyle name="Note 2 3 5" xfId="7298"/>
    <cellStyle name="Note 2 3 5 2" xfId="7299"/>
    <cellStyle name="Note 2 3 5 3" xfId="7300"/>
    <cellStyle name="Note 2 3 5 4" xfId="7301"/>
    <cellStyle name="Note 2 3 5 5" xfId="7302"/>
    <cellStyle name="Note 2 3 5 6" xfId="35645"/>
    <cellStyle name="Note 2 3 5 7" xfId="35646"/>
    <cellStyle name="Note 2 3 5 8" xfId="35647"/>
    <cellStyle name="Note 2 3 6" xfId="7303"/>
    <cellStyle name="Note 2 3 6 2" xfId="7304"/>
    <cellStyle name="Note 2 3 6 3" xfId="7305"/>
    <cellStyle name="Note 2 3 6 4" xfId="7306"/>
    <cellStyle name="Note 2 3 6 5" xfId="7307"/>
    <cellStyle name="Note 2 3 6 6" xfId="35648"/>
    <cellStyle name="Note 2 3 6 7" xfId="35649"/>
    <cellStyle name="Note 2 3 6 8" xfId="35650"/>
    <cellStyle name="Note 2 3 7" xfId="7308"/>
    <cellStyle name="Note 2 3 8" xfId="7309"/>
    <cellStyle name="Note 2 3 9" xfId="7310"/>
    <cellStyle name="Note 2 4" xfId="7311"/>
    <cellStyle name="Note 2 4 10" xfId="7312"/>
    <cellStyle name="Note 2 4 11" xfId="35651"/>
    <cellStyle name="Note 2 4 12" xfId="35652"/>
    <cellStyle name="Note 2 4 13" xfId="35653"/>
    <cellStyle name="Note 2 4 14" xfId="35654"/>
    <cellStyle name="Note 2 4 2" xfId="7313"/>
    <cellStyle name="Note 2 4 2 2" xfId="7314"/>
    <cellStyle name="Note 2 4 2 3" xfId="7315"/>
    <cellStyle name="Note 2 4 2 4" xfId="7316"/>
    <cellStyle name="Note 2 4 2 5" xfId="7317"/>
    <cellStyle name="Note 2 4 2 6" xfId="35655"/>
    <cellStyle name="Note 2 4 2 7" xfId="35656"/>
    <cellStyle name="Note 2 4 2 8" xfId="35657"/>
    <cellStyle name="Note 2 4 3" xfId="7318"/>
    <cellStyle name="Note 2 4 3 2" xfId="7319"/>
    <cellStyle name="Note 2 4 3 3" xfId="7320"/>
    <cellStyle name="Note 2 4 3 4" xfId="7321"/>
    <cellStyle name="Note 2 4 3 5" xfId="7322"/>
    <cellStyle name="Note 2 4 3 6" xfId="35658"/>
    <cellStyle name="Note 2 4 3 7" xfId="35659"/>
    <cellStyle name="Note 2 4 3 8" xfId="35660"/>
    <cellStyle name="Note 2 4 4" xfId="7323"/>
    <cellStyle name="Note 2 4 4 2" xfId="7324"/>
    <cellStyle name="Note 2 4 4 3" xfId="7325"/>
    <cellStyle name="Note 2 4 4 4" xfId="7326"/>
    <cellStyle name="Note 2 4 4 5" xfId="7327"/>
    <cellStyle name="Note 2 4 4 6" xfId="35661"/>
    <cellStyle name="Note 2 4 4 7" xfId="35662"/>
    <cellStyle name="Note 2 4 4 8" xfId="35663"/>
    <cellStyle name="Note 2 4 5" xfId="7328"/>
    <cellStyle name="Note 2 4 5 2" xfId="7329"/>
    <cellStyle name="Note 2 4 5 3" xfId="7330"/>
    <cellStyle name="Note 2 4 5 4" xfId="7331"/>
    <cellStyle name="Note 2 4 5 5" xfId="7332"/>
    <cellStyle name="Note 2 4 5 6" xfId="35664"/>
    <cellStyle name="Note 2 4 5 7" xfId="35665"/>
    <cellStyle name="Note 2 4 5 8" xfId="35666"/>
    <cellStyle name="Note 2 4 6" xfId="7333"/>
    <cellStyle name="Note 2 4 6 2" xfId="7334"/>
    <cellStyle name="Note 2 4 6 3" xfId="7335"/>
    <cellStyle name="Note 2 4 6 4" xfId="7336"/>
    <cellStyle name="Note 2 4 6 5" xfId="7337"/>
    <cellStyle name="Note 2 4 6 6" xfId="35667"/>
    <cellStyle name="Note 2 4 6 7" xfId="35668"/>
    <cellStyle name="Note 2 4 6 8" xfId="35669"/>
    <cellStyle name="Note 2 4 7" xfId="7338"/>
    <cellStyle name="Note 2 4 8" xfId="7339"/>
    <cellStyle name="Note 2 4 9" xfId="7340"/>
    <cellStyle name="Note 2 5" xfId="7341"/>
    <cellStyle name="Note 2 5 10" xfId="7342"/>
    <cellStyle name="Note 2 5 11" xfId="35670"/>
    <cellStyle name="Note 2 5 12" xfId="35671"/>
    <cellStyle name="Note 2 5 13" xfId="35672"/>
    <cellStyle name="Note 2 5 14" xfId="35673"/>
    <cellStyle name="Note 2 5 2" xfId="7343"/>
    <cellStyle name="Note 2 5 2 2" xfId="7344"/>
    <cellStyle name="Note 2 5 2 3" xfId="7345"/>
    <cellStyle name="Note 2 5 2 4" xfId="7346"/>
    <cellStyle name="Note 2 5 2 5" xfId="7347"/>
    <cellStyle name="Note 2 5 2 6" xfId="35674"/>
    <cellStyle name="Note 2 5 2 7" xfId="35675"/>
    <cellStyle name="Note 2 5 2 8" xfId="35676"/>
    <cellStyle name="Note 2 5 3" xfId="7348"/>
    <cellStyle name="Note 2 5 3 2" xfId="7349"/>
    <cellStyle name="Note 2 5 3 3" xfId="7350"/>
    <cellStyle name="Note 2 5 3 4" xfId="7351"/>
    <cellStyle name="Note 2 5 3 5" xfId="7352"/>
    <cellStyle name="Note 2 5 3 6" xfId="35677"/>
    <cellStyle name="Note 2 5 3 7" xfId="35678"/>
    <cellStyle name="Note 2 5 3 8" xfId="35679"/>
    <cellStyle name="Note 2 5 4" xfId="7353"/>
    <cellStyle name="Note 2 5 4 2" xfId="7354"/>
    <cellStyle name="Note 2 5 4 3" xfId="7355"/>
    <cellStyle name="Note 2 5 4 4" xfId="7356"/>
    <cellStyle name="Note 2 5 4 5" xfId="7357"/>
    <cellStyle name="Note 2 5 4 6" xfId="35680"/>
    <cellStyle name="Note 2 5 4 7" xfId="35681"/>
    <cellStyle name="Note 2 5 4 8" xfId="35682"/>
    <cellStyle name="Note 2 5 5" xfId="7358"/>
    <cellStyle name="Note 2 5 5 2" xfId="7359"/>
    <cellStyle name="Note 2 5 5 3" xfId="7360"/>
    <cellStyle name="Note 2 5 5 4" xfId="7361"/>
    <cellStyle name="Note 2 5 5 5" xfId="7362"/>
    <cellStyle name="Note 2 5 5 6" xfId="35683"/>
    <cellStyle name="Note 2 5 5 7" xfId="35684"/>
    <cellStyle name="Note 2 5 5 8" xfId="35685"/>
    <cellStyle name="Note 2 5 6" xfId="7363"/>
    <cellStyle name="Note 2 5 6 2" xfId="7364"/>
    <cellStyle name="Note 2 5 6 3" xfId="7365"/>
    <cellStyle name="Note 2 5 6 4" xfId="7366"/>
    <cellStyle name="Note 2 5 6 5" xfId="7367"/>
    <cellStyle name="Note 2 5 6 6" xfId="35686"/>
    <cellStyle name="Note 2 5 6 7" xfId="35687"/>
    <cellStyle name="Note 2 5 6 8" xfId="35688"/>
    <cellStyle name="Note 2 5 7" xfId="7368"/>
    <cellStyle name="Note 2 5 8" xfId="7369"/>
    <cellStyle name="Note 2 5 9" xfId="7370"/>
    <cellStyle name="Note 2 6" xfId="7371"/>
    <cellStyle name="Note 2 6 10" xfId="7372"/>
    <cellStyle name="Note 2 6 11" xfId="35689"/>
    <cellStyle name="Note 2 6 12" xfId="35690"/>
    <cellStyle name="Note 2 6 13" xfId="35691"/>
    <cellStyle name="Note 2 6 2" xfId="7373"/>
    <cellStyle name="Note 2 6 2 2" xfId="7374"/>
    <cellStyle name="Note 2 6 2 3" xfId="7375"/>
    <cellStyle name="Note 2 6 2 4" xfId="7376"/>
    <cellStyle name="Note 2 6 2 5" xfId="7377"/>
    <cellStyle name="Note 2 6 2 6" xfId="35692"/>
    <cellStyle name="Note 2 6 2 7" xfId="35693"/>
    <cellStyle name="Note 2 6 2 8" xfId="35694"/>
    <cellStyle name="Note 2 6 3" xfId="7378"/>
    <cellStyle name="Note 2 6 3 2" xfId="7379"/>
    <cellStyle name="Note 2 6 3 3" xfId="7380"/>
    <cellStyle name="Note 2 6 3 4" xfId="7381"/>
    <cellStyle name="Note 2 6 3 5" xfId="7382"/>
    <cellStyle name="Note 2 6 3 6" xfId="35695"/>
    <cellStyle name="Note 2 6 3 7" xfId="35696"/>
    <cellStyle name="Note 2 6 3 8" xfId="35697"/>
    <cellStyle name="Note 2 6 4" xfId="7383"/>
    <cellStyle name="Note 2 6 4 2" xfId="7384"/>
    <cellStyle name="Note 2 6 4 3" xfId="7385"/>
    <cellStyle name="Note 2 6 4 4" xfId="7386"/>
    <cellStyle name="Note 2 6 4 5" xfId="7387"/>
    <cellStyle name="Note 2 6 4 6" xfId="35698"/>
    <cellStyle name="Note 2 6 4 7" xfId="35699"/>
    <cellStyle name="Note 2 6 4 8" xfId="35700"/>
    <cellStyle name="Note 2 6 5" xfId="7388"/>
    <cellStyle name="Note 2 6 5 2" xfId="7389"/>
    <cellStyle name="Note 2 6 5 3" xfId="7390"/>
    <cellStyle name="Note 2 6 5 4" xfId="7391"/>
    <cellStyle name="Note 2 6 5 5" xfId="7392"/>
    <cellStyle name="Note 2 6 5 6" xfId="35701"/>
    <cellStyle name="Note 2 6 5 7" xfId="35702"/>
    <cellStyle name="Note 2 6 5 8" xfId="35703"/>
    <cellStyle name="Note 2 6 6" xfId="7393"/>
    <cellStyle name="Note 2 6 6 2" xfId="7394"/>
    <cellStyle name="Note 2 6 6 3" xfId="7395"/>
    <cellStyle name="Note 2 6 6 4" xfId="7396"/>
    <cellStyle name="Note 2 6 6 5" xfId="7397"/>
    <cellStyle name="Note 2 6 6 6" xfId="35704"/>
    <cellStyle name="Note 2 6 6 7" xfId="35705"/>
    <cellStyle name="Note 2 6 6 8" xfId="35706"/>
    <cellStyle name="Note 2 6 7" xfId="7398"/>
    <cellStyle name="Note 2 6 8" xfId="7399"/>
    <cellStyle name="Note 2 6 9" xfId="7400"/>
    <cellStyle name="Note 2 7" xfId="7401"/>
    <cellStyle name="Note 2 7 10" xfId="7402"/>
    <cellStyle name="Note 2 7 11" xfId="35707"/>
    <cellStyle name="Note 2 7 12" xfId="35708"/>
    <cellStyle name="Note 2 7 13" xfId="35709"/>
    <cellStyle name="Note 2 7 2" xfId="7403"/>
    <cellStyle name="Note 2 7 2 2" xfId="7404"/>
    <cellStyle name="Note 2 7 2 3" xfId="7405"/>
    <cellStyle name="Note 2 7 2 4" xfId="7406"/>
    <cellStyle name="Note 2 7 2 5" xfId="7407"/>
    <cellStyle name="Note 2 7 2 6" xfId="35710"/>
    <cellStyle name="Note 2 7 2 7" xfId="35711"/>
    <cellStyle name="Note 2 7 2 8" xfId="35712"/>
    <cellStyle name="Note 2 7 3" xfId="7408"/>
    <cellStyle name="Note 2 7 3 2" xfId="7409"/>
    <cellStyle name="Note 2 7 3 3" xfId="7410"/>
    <cellStyle name="Note 2 7 3 4" xfId="7411"/>
    <cellStyle name="Note 2 7 3 5" xfId="7412"/>
    <cellStyle name="Note 2 7 3 6" xfId="35713"/>
    <cellStyle name="Note 2 7 3 7" xfId="35714"/>
    <cellStyle name="Note 2 7 3 8" xfId="35715"/>
    <cellStyle name="Note 2 7 4" xfId="7413"/>
    <cellStyle name="Note 2 7 4 2" xfId="7414"/>
    <cellStyle name="Note 2 7 4 3" xfId="7415"/>
    <cellStyle name="Note 2 7 4 4" xfId="7416"/>
    <cellStyle name="Note 2 7 4 5" xfId="7417"/>
    <cellStyle name="Note 2 7 4 6" xfId="35716"/>
    <cellStyle name="Note 2 7 4 7" xfId="35717"/>
    <cellStyle name="Note 2 7 4 8" xfId="35718"/>
    <cellStyle name="Note 2 7 5" xfId="7418"/>
    <cellStyle name="Note 2 7 5 2" xfId="7419"/>
    <cellStyle name="Note 2 7 5 3" xfId="7420"/>
    <cellStyle name="Note 2 7 5 4" xfId="7421"/>
    <cellStyle name="Note 2 7 5 5" xfId="7422"/>
    <cellStyle name="Note 2 7 5 6" xfId="35719"/>
    <cellStyle name="Note 2 7 5 7" xfId="35720"/>
    <cellStyle name="Note 2 7 5 8" xfId="35721"/>
    <cellStyle name="Note 2 7 6" xfId="7423"/>
    <cellStyle name="Note 2 7 6 2" xfId="7424"/>
    <cellStyle name="Note 2 7 6 3" xfId="7425"/>
    <cellStyle name="Note 2 7 6 4" xfId="7426"/>
    <cellStyle name="Note 2 7 6 5" xfId="7427"/>
    <cellStyle name="Note 2 7 6 6" xfId="35722"/>
    <cellStyle name="Note 2 7 6 7" xfId="35723"/>
    <cellStyle name="Note 2 7 6 8" xfId="35724"/>
    <cellStyle name="Note 2 7 7" xfId="7428"/>
    <cellStyle name="Note 2 7 8" xfId="7429"/>
    <cellStyle name="Note 2 7 9" xfId="7430"/>
    <cellStyle name="Note 2 8" xfId="7431"/>
    <cellStyle name="Note 2 8 10" xfId="7432"/>
    <cellStyle name="Note 2 8 11" xfId="35725"/>
    <cellStyle name="Note 2 8 12" xfId="35726"/>
    <cellStyle name="Note 2 8 13" xfId="35727"/>
    <cellStyle name="Note 2 8 2" xfId="7433"/>
    <cellStyle name="Note 2 8 2 2" xfId="7434"/>
    <cellStyle name="Note 2 8 2 3" xfId="7435"/>
    <cellStyle name="Note 2 8 2 4" xfId="7436"/>
    <cellStyle name="Note 2 8 2 5" xfId="7437"/>
    <cellStyle name="Note 2 8 2 6" xfId="35728"/>
    <cellStyle name="Note 2 8 2 7" xfId="35729"/>
    <cellStyle name="Note 2 8 2 8" xfId="35730"/>
    <cellStyle name="Note 2 8 3" xfId="7438"/>
    <cellStyle name="Note 2 8 3 2" xfId="7439"/>
    <cellStyle name="Note 2 8 3 3" xfId="7440"/>
    <cellStyle name="Note 2 8 3 4" xfId="7441"/>
    <cellStyle name="Note 2 8 3 5" xfId="7442"/>
    <cellStyle name="Note 2 8 3 6" xfId="35731"/>
    <cellStyle name="Note 2 8 3 7" xfId="35732"/>
    <cellStyle name="Note 2 8 3 8" xfId="35733"/>
    <cellStyle name="Note 2 8 4" xfId="7443"/>
    <cellStyle name="Note 2 8 4 2" xfId="7444"/>
    <cellStyle name="Note 2 8 4 3" xfId="7445"/>
    <cellStyle name="Note 2 8 4 4" xfId="7446"/>
    <cellStyle name="Note 2 8 4 5" xfId="7447"/>
    <cellStyle name="Note 2 8 4 6" xfId="35734"/>
    <cellStyle name="Note 2 8 4 7" xfId="35735"/>
    <cellStyle name="Note 2 8 4 8" xfId="35736"/>
    <cellStyle name="Note 2 8 5" xfId="7448"/>
    <cellStyle name="Note 2 8 5 2" xfId="7449"/>
    <cellStyle name="Note 2 8 5 3" xfId="7450"/>
    <cellStyle name="Note 2 8 5 4" xfId="7451"/>
    <cellStyle name="Note 2 8 5 5" xfId="7452"/>
    <cellStyle name="Note 2 8 5 6" xfId="35737"/>
    <cellStyle name="Note 2 8 5 7" xfId="35738"/>
    <cellStyle name="Note 2 8 5 8" xfId="35739"/>
    <cellStyle name="Note 2 8 6" xfId="7453"/>
    <cellStyle name="Note 2 8 6 2" xfId="7454"/>
    <cellStyle name="Note 2 8 6 3" xfId="7455"/>
    <cellStyle name="Note 2 8 6 4" xfId="7456"/>
    <cellStyle name="Note 2 8 6 5" xfId="7457"/>
    <cellStyle name="Note 2 8 6 6" xfId="35740"/>
    <cellStyle name="Note 2 8 6 7" xfId="35741"/>
    <cellStyle name="Note 2 8 6 8" xfId="35742"/>
    <cellStyle name="Note 2 8 7" xfId="7458"/>
    <cellStyle name="Note 2 8 8" xfId="7459"/>
    <cellStyle name="Note 2 8 9" xfId="7460"/>
    <cellStyle name="Note 2 9" xfId="7461"/>
    <cellStyle name="Note 2 9 10" xfId="7462"/>
    <cellStyle name="Note 2 9 11" xfId="35743"/>
    <cellStyle name="Note 2 9 12" xfId="35744"/>
    <cellStyle name="Note 2 9 13" xfId="35745"/>
    <cellStyle name="Note 2 9 2" xfId="7463"/>
    <cellStyle name="Note 2 9 2 2" xfId="7464"/>
    <cellStyle name="Note 2 9 2 3" xfId="7465"/>
    <cellStyle name="Note 2 9 2 4" xfId="7466"/>
    <cellStyle name="Note 2 9 2 5" xfId="7467"/>
    <cellStyle name="Note 2 9 2 6" xfId="35746"/>
    <cellStyle name="Note 2 9 2 7" xfId="35747"/>
    <cellStyle name="Note 2 9 2 8" xfId="35748"/>
    <cellStyle name="Note 2 9 3" xfId="7468"/>
    <cellStyle name="Note 2 9 3 2" xfId="7469"/>
    <cellStyle name="Note 2 9 3 3" xfId="7470"/>
    <cellStyle name="Note 2 9 3 4" xfId="7471"/>
    <cellStyle name="Note 2 9 3 5" xfId="7472"/>
    <cellStyle name="Note 2 9 3 6" xfId="35749"/>
    <cellStyle name="Note 2 9 3 7" xfId="35750"/>
    <cellStyle name="Note 2 9 3 8" xfId="35751"/>
    <cellStyle name="Note 2 9 4" xfId="7473"/>
    <cellStyle name="Note 2 9 4 2" xfId="7474"/>
    <cellStyle name="Note 2 9 4 3" xfId="7475"/>
    <cellStyle name="Note 2 9 4 4" xfId="7476"/>
    <cellStyle name="Note 2 9 4 5" xfId="7477"/>
    <cellStyle name="Note 2 9 4 6" xfId="35752"/>
    <cellStyle name="Note 2 9 4 7" xfId="35753"/>
    <cellStyle name="Note 2 9 4 8" xfId="35754"/>
    <cellStyle name="Note 2 9 5" xfId="7478"/>
    <cellStyle name="Note 2 9 5 2" xfId="7479"/>
    <cellStyle name="Note 2 9 5 3" xfId="7480"/>
    <cellStyle name="Note 2 9 5 4" xfId="7481"/>
    <cellStyle name="Note 2 9 5 5" xfId="7482"/>
    <cellStyle name="Note 2 9 5 6" xfId="35755"/>
    <cellStyle name="Note 2 9 5 7" xfId="35756"/>
    <cellStyle name="Note 2 9 5 8" xfId="35757"/>
    <cellStyle name="Note 2 9 6" xfId="7483"/>
    <cellStyle name="Note 2 9 6 2" xfId="7484"/>
    <cellStyle name="Note 2 9 6 3" xfId="7485"/>
    <cellStyle name="Note 2 9 6 4" xfId="7486"/>
    <cellStyle name="Note 2 9 6 5" xfId="7487"/>
    <cellStyle name="Note 2 9 6 6" xfId="35758"/>
    <cellStyle name="Note 2 9 6 7" xfId="35759"/>
    <cellStyle name="Note 2 9 6 8" xfId="35760"/>
    <cellStyle name="Note 2 9 7" xfId="7488"/>
    <cellStyle name="Note 2 9 8" xfId="7489"/>
    <cellStyle name="Note 2 9 9" xfId="7490"/>
    <cellStyle name="Note 20" xfId="7491"/>
    <cellStyle name="Note 20 10" xfId="7492"/>
    <cellStyle name="Note 20 11" xfId="35761"/>
    <cellStyle name="Note 20 12" xfId="35762"/>
    <cellStyle name="Note 20 13" xfId="35763"/>
    <cellStyle name="Note 20 2" xfId="7493"/>
    <cellStyle name="Note 20 2 2" xfId="7494"/>
    <cellStyle name="Note 20 2 3" xfId="7495"/>
    <cellStyle name="Note 20 2 4" xfId="7496"/>
    <cellStyle name="Note 20 2 5" xfId="7497"/>
    <cellStyle name="Note 20 2 6" xfId="35764"/>
    <cellStyle name="Note 20 2 7" xfId="35765"/>
    <cellStyle name="Note 20 2 8" xfId="35766"/>
    <cellStyle name="Note 20 3" xfId="7498"/>
    <cellStyle name="Note 20 3 2" xfId="7499"/>
    <cellStyle name="Note 20 3 3" xfId="7500"/>
    <cellStyle name="Note 20 3 4" xfId="7501"/>
    <cellStyle name="Note 20 3 5" xfId="7502"/>
    <cellStyle name="Note 20 3 6" xfId="35767"/>
    <cellStyle name="Note 20 3 7" xfId="35768"/>
    <cellStyle name="Note 20 3 8" xfId="35769"/>
    <cellStyle name="Note 20 4" xfId="7503"/>
    <cellStyle name="Note 20 4 2" xfId="7504"/>
    <cellStyle name="Note 20 4 3" xfId="7505"/>
    <cellStyle name="Note 20 4 4" xfId="7506"/>
    <cellStyle name="Note 20 4 5" xfId="7507"/>
    <cellStyle name="Note 20 4 6" xfId="35770"/>
    <cellStyle name="Note 20 4 7" xfId="35771"/>
    <cellStyle name="Note 20 4 8" xfId="35772"/>
    <cellStyle name="Note 20 5" xfId="7508"/>
    <cellStyle name="Note 20 5 2" xfId="7509"/>
    <cellStyle name="Note 20 5 3" xfId="7510"/>
    <cellStyle name="Note 20 5 4" xfId="7511"/>
    <cellStyle name="Note 20 5 5" xfId="7512"/>
    <cellStyle name="Note 20 5 6" xfId="35773"/>
    <cellStyle name="Note 20 5 7" xfId="35774"/>
    <cellStyle name="Note 20 5 8" xfId="35775"/>
    <cellStyle name="Note 20 6" xfId="7513"/>
    <cellStyle name="Note 20 6 2" xfId="7514"/>
    <cellStyle name="Note 20 6 3" xfId="7515"/>
    <cellStyle name="Note 20 6 4" xfId="7516"/>
    <cellStyle name="Note 20 6 5" xfId="7517"/>
    <cellStyle name="Note 20 6 6" xfId="35776"/>
    <cellStyle name="Note 20 6 7" xfId="35777"/>
    <cellStyle name="Note 20 6 8" xfId="35778"/>
    <cellStyle name="Note 20 7" xfId="7518"/>
    <cellStyle name="Note 20 8" xfId="7519"/>
    <cellStyle name="Note 20 9" xfId="7520"/>
    <cellStyle name="Note 21" xfId="7521"/>
    <cellStyle name="Note 21 10" xfId="7522"/>
    <cellStyle name="Note 21 11" xfId="35779"/>
    <cellStyle name="Note 21 12" xfId="35780"/>
    <cellStyle name="Note 21 13" xfId="35781"/>
    <cellStyle name="Note 21 2" xfId="7523"/>
    <cellStyle name="Note 21 2 2" xfId="7524"/>
    <cellStyle name="Note 21 2 3" xfId="7525"/>
    <cellStyle name="Note 21 2 4" xfId="7526"/>
    <cellStyle name="Note 21 2 5" xfId="7527"/>
    <cellStyle name="Note 21 2 6" xfId="35782"/>
    <cellStyle name="Note 21 2 7" xfId="35783"/>
    <cellStyle name="Note 21 2 8" xfId="35784"/>
    <cellStyle name="Note 21 3" xfId="7528"/>
    <cellStyle name="Note 21 3 2" xfId="7529"/>
    <cellStyle name="Note 21 3 3" xfId="7530"/>
    <cellStyle name="Note 21 3 4" xfId="7531"/>
    <cellStyle name="Note 21 3 5" xfId="7532"/>
    <cellStyle name="Note 21 3 6" xfId="35785"/>
    <cellStyle name="Note 21 3 7" xfId="35786"/>
    <cellStyle name="Note 21 3 8" xfId="35787"/>
    <cellStyle name="Note 21 4" xfId="7533"/>
    <cellStyle name="Note 21 4 2" xfId="7534"/>
    <cellStyle name="Note 21 4 3" xfId="7535"/>
    <cellStyle name="Note 21 4 4" xfId="7536"/>
    <cellStyle name="Note 21 4 5" xfId="7537"/>
    <cellStyle name="Note 21 4 6" xfId="35788"/>
    <cellStyle name="Note 21 4 7" xfId="35789"/>
    <cellStyle name="Note 21 4 8" xfId="35790"/>
    <cellStyle name="Note 21 5" xfId="7538"/>
    <cellStyle name="Note 21 5 2" xfId="7539"/>
    <cellStyle name="Note 21 5 3" xfId="7540"/>
    <cellStyle name="Note 21 5 4" xfId="7541"/>
    <cellStyle name="Note 21 5 5" xfId="7542"/>
    <cellStyle name="Note 21 5 6" xfId="35791"/>
    <cellStyle name="Note 21 5 7" xfId="35792"/>
    <cellStyle name="Note 21 5 8" xfId="35793"/>
    <cellStyle name="Note 21 6" xfId="7543"/>
    <cellStyle name="Note 21 6 2" xfId="7544"/>
    <cellStyle name="Note 21 6 3" xfId="7545"/>
    <cellStyle name="Note 21 6 4" xfId="7546"/>
    <cellStyle name="Note 21 6 5" xfId="7547"/>
    <cellStyle name="Note 21 6 6" xfId="35794"/>
    <cellStyle name="Note 21 6 7" xfId="35795"/>
    <cellStyle name="Note 21 6 8" xfId="35796"/>
    <cellStyle name="Note 21 7" xfId="7548"/>
    <cellStyle name="Note 21 8" xfId="7549"/>
    <cellStyle name="Note 21 9" xfId="7550"/>
    <cellStyle name="Note 22" xfId="7551"/>
    <cellStyle name="Note 22 10" xfId="7552"/>
    <cellStyle name="Note 22 11" xfId="35797"/>
    <cellStyle name="Note 22 12" xfId="35798"/>
    <cellStyle name="Note 22 13" xfId="35799"/>
    <cellStyle name="Note 22 2" xfId="7553"/>
    <cellStyle name="Note 22 2 2" xfId="7554"/>
    <cellStyle name="Note 22 2 3" xfId="7555"/>
    <cellStyle name="Note 22 2 4" xfId="7556"/>
    <cellStyle name="Note 22 2 5" xfId="7557"/>
    <cellStyle name="Note 22 2 6" xfId="35800"/>
    <cellStyle name="Note 22 2 7" xfId="35801"/>
    <cellStyle name="Note 22 2 8" xfId="35802"/>
    <cellStyle name="Note 22 3" xfId="7558"/>
    <cellStyle name="Note 22 3 2" xfId="7559"/>
    <cellStyle name="Note 22 3 3" xfId="7560"/>
    <cellStyle name="Note 22 3 4" xfId="7561"/>
    <cellStyle name="Note 22 3 5" xfId="7562"/>
    <cellStyle name="Note 22 3 6" xfId="35803"/>
    <cellStyle name="Note 22 3 7" xfId="35804"/>
    <cellStyle name="Note 22 3 8" xfId="35805"/>
    <cellStyle name="Note 22 4" xfId="7563"/>
    <cellStyle name="Note 22 4 2" xfId="7564"/>
    <cellStyle name="Note 22 4 3" xfId="7565"/>
    <cellStyle name="Note 22 4 4" xfId="7566"/>
    <cellStyle name="Note 22 4 5" xfId="7567"/>
    <cellStyle name="Note 22 4 6" xfId="35806"/>
    <cellStyle name="Note 22 4 7" xfId="35807"/>
    <cellStyle name="Note 22 4 8" xfId="35808"/>
    <cellStyle name="Note 22 5" xfId="7568"/>
    <cellStyle name="Note 22 5 2" xfId="7569"/>
    <cellStyle name="Note 22 5 3" xfId="7570"/>
    <cellStyle name="Note 22 5 4" xfId="7571"/>
    <cellStyle name="Note 22 5 5" xfId="7572"/>
    <cellStyle name="Note 22 5 6" xfId="35809"/>
    <cellStyle name="Note 22 5 7" xfId="35810"/>
    <cellStyle name="Note 22 5 8" xfId="35811"/>
    <cellStyle name="Note 22 6" xfId="7573"/>
    <cellStyle name="Note 22 6 2" xfId="7574"/>
    <cellStyle name="Note 22 6 3" xfId="7575"/>
    <cellStyle name="Note 22 6 4" xfId="7576"/>
    <cellStyle name="Note 22 6 5" xfId="7577"/>
    <cellStyle name="Note 22 6 6" xfId="35812"/>
    <cellStyle name="Note 22 6 7" xfId="35813"/>
    <cellStyle name="Note 22 6 8" xfId="35814"/>
    <cellStyle name="Note 22 7" xfId="7578"/>
    <cellStyle name="Note 22 8" xfId="7579"/>
    <cellStyle name="Note 22 9" xfId="7580"/>
    <cellStyle name="Note 23" xfId="7581"/>
    <cellStyle name="Note 23 10" xfId="7582"/>
    <cellStyle name="Note 23 11" xfId="35815"/>
    <cellStyle name="Note 23 12" xfId="35816"/>
    <cellStyle name="Note 23 13" xfId="35817"/>
    <cellStyle name="Note 23 2" xfId="7583"/>
    <cellStyle name="Note 23 2 2" xfId="7584"/>
    <cellStyle name="Note 23 2 3" xfId="7585"/>
    <cellStyle name="Note 23 2 4" xfId="7586"/>
    <cellStyle name="Note 23 2 5" xfId="7587"/>
    <cellStyle name="Note 23 2 6" xfId="35818"/>
    <cellStyle name="Note 23 2 7" xfId="35819"/>
    <cellStyle name="Note 23 2 8" xfId="35820"/>
    <cellStyle name="Note 23 3" xfId="7588"/>
    <cellStyle name="Note 23 3 2" xfId="7589"/>
    <cellStyle name="Note 23 3 3" xfId="7590"/>
    <cellStyle name="Note 23 3 4" xfId="7591"/>
    <cellStyle name="Note 23 3 5" xfId="7592"/>
    <cellStyle name="Note 23 3 6" xfId="35821"/>
    <cellStyle name="Note 23 3 7" xfId="35822"/>
    <cellStyle name="Note 23 3 8" xfId="35823"/>
    <cellStyle name="Note 23 4" xfId="7593"/>
    <cellStyle name="Note 23 4 2" xfId="7594"/>
    <cellStyle name="Note 23 4 3" xfId="7595"/>
    <cellStyle name="Note 23 4 4" xfId="7596"/>
    <cellStyle name="Note 23 4 5" xfId="7597"/>
    <cellStyle name="Note 23 4 6" xfId="35824"/>
    <cellStyle name="Note 23 4 7" xfId="35825"/>
    <cellStyle name="Note 23 4 8" xfId="35826"/>
    <cellStyle name="Note 23 5" xfId="7598"/>
    <cellStyle name="Note 23 5 2" xfId="7599"/>
    <cellStyle name="Note 23 5 3" xfId="7600"/>
    <cellStyle name="Note 23 5 4" xfId="7601"/>
    <cellStyle name="Note 23 5 5" xfId="7602"/>
    <cellStyle name="Note 23 5 6" xfId="35827"/>
    <cellStyle name="Note 23 5 7" xfId="35828"/>
    <cellStyle name="Note 23 5 8" xfId="35829"/>
    <cellStyle name="Note 23 6" xfId="7603"/>
    <cellStyle name="Note 23 6 2" xfId="7604"/>
    <cellStyle name="Note 23 6 3" xfId="7605"/>
    <cellStyle name="Note 23 6 4" xfId="7606"/>
    <cellStyle name="Note 23 6 5" xfId="7607"/>
    <cellStyle name="Note 23 6 6" xfId="35830"/>
    <cellStyle name="Note 23 6 7" xfId="35831"/>
    <cellStyle name="Note 23 6 8" xfId="35832"/>
    <cellStyle name="Note 23 7" xfId="7608"/>
    <cellStyle name="Note 23 8" xfId="7609"/>
    <cellStyle name="Note 23 9" xfId="7610"/>
    <cellStyle name="Note 24" xfId="7611"/>
    <cellStyle name="Note 24 10" xfId="7612"/>
    <cellStyle name="Note 24 11" xfId="35833"/>
    <cellStyle name="Note 24 12" xfId="35834"/>
    <cellStyle name="Note 24 13" xfId="35835"/>
    <cellStyle name="Note 24 2" xfId="7613"/>
    <cellStyle name="Note 24 2 2" xfId="7614"/>
    <cellStyle name="Note 24 2 3" xfId="7615"/>
    <cellStyle name="Note 24 2 4" xfId="7616"/>
    <cellStyle name="Note 24 2 5" xfId="7617"/>
    <cellStyle name="Note 24 2 6" xfId="35836"/>
    <cellStyle name="Note 24 2 7" xfId="35837"/>
    <cellStyle name="Note 24 2 8" xfId="35838"/>
    <cellStyle name="Note 24 3" xfId="7618"/>
    <cellStyle name="Note 24 3 2" xfId="7619"/>
    <cellStyle name="Note 24 3 3" xfId="7620"/>
    <cellStyle name="Note 24 3 4" xfId="7621"/>
    <cellStyle name="Note 24 3 5" xfId="7622"/>
    <cellStyle name="Note 24 3 6" xfId="35839"/>
    <cellStyle name="Note 24 3 7" xfId="35840"/>
    <cellStyle name="Note 24 3 8" xfId="35841"/>
    <cellStyle name="Note 24 4" xfId="7623"/>
    <cellStyle name="Note 24 4 2" xfId="7624"/>
    <cellStyle name="Note 24 4 3" xfId="7625"/>
    <cellStyle name="Note 24 4 4" xfId="7626"/>
    <cellStyle name="Note 24 4 5" xfId="7627"/>
    <cellStyle name="Note 24 4 6" xfId="35842"/>
    <cellStyle name="Note 24 4 7" xfId="35843"/>
    <cellStyle name="Note 24 4 8" xfId="35844"/>
    <cellStyle name="Note 24 5" xfId="7628"/>
    <cellStyle name="Note 24 5 2" xfId="7629"/>
    <cellStyle name="Note 24 5 3" xfId="7630"/>
    <cellStyle name="Note 24 5 4" xfId="7631"/>
    <cellStyle name="Note 24 5 5" xfId="7632"/>
    <cellStyle name="Note 24 5 6" xfId="35845"/>
    <cellStyle name="Note 24 5 7" xfId="35846"/>
    <cellStyle name="Note 24 5 8" xfId="35847"/>
    <cellStyle name="Note 24 6" xfId="7633"/>
    <cellStyle name="Note 24 6 2" xfId="7634"/>
    <cellStyle name="Note 24 6 3" xfId="7635"/>
    <cellStyle name="Note 24 6 4" xfId="7636"/>
    <cellStyle name="Note 24 6 5" xfId="7637"/>
    <cellStyle name="Note 24 6 6" xfId="35848"/>
    <cellStyle name="Note 24 6 7" xfId="35849"/>
    <cellStyle name="Note 24 6 8" xfId="35850"/>
    <cellStyle name="Note 24 7" xfId="7638"/>
    <cellStyle name="Note 24 8" xfId="7639"/>
    <cellStyle name="Note 24 9" xfId="7640"/>
    <cellStyle name="Note 25" xfId="7641"/>
    <cellStyle name="Note 25 10" xfId="7642"/>
    <cellStyle name="Note 25 11" xfId="35851"/>
    <cellStyle name="Note 25 12" xfId="35852"/>
    <cellStyle name="Note 25 13" xfId="35853"/>
    <cellStyle name="Note 25 2" xfId="7643"/>
    <cellStyle name="Note 25 2 2" xfId="7644"/>
    <cellStyle name="Note 25 2 3" xfId="7645"/>
    <cellStyle name="Note 25 2 4" xfId="7646"/>
    <cellStyle name="Note 25 2 5" xfId="7647"/>
    <cellStyle name="Note 25 2 6" xfId="35854"/>
    <cellStyle name="Note 25 2 7" xfId="35855"/>
    <cellStyle name="Note 25 2 8" xfId="35856"/>
    <cellStyle name="Note 25 3" xfId="7648"/>
    <cellStyle name="Note 25 3 2" xfId="7649"/>
    <cellStyle name="Note 25 3 3" xfId="7650"/>
    <cellStyle name="Note 25 3 4" xfId="7651"/>
    <cellStyle name="Note 25 3 5" xfId="7652"/>
    <cellStyle name="Note 25 3 6" xfId="35857"/>
    <cellStyle name="Note 25 3 7" xfId="35858"/>
    <cellStyle name="Note 25 3 8" xfId="35859"/>
    <cellStyle name="Note 25 4" xfId="7653"/>
    <cellStyle name="Note 25 4 2" xfId="7654"/>
    <cellStyle name="Note 25 4 3" xfId="7655"/>
    <cellStyle name="Note 25 4 4" xfId="7656"/>
    <cellStyle name="Note 25 4 5" xfId="7657"/>
    <cellStyle name="Note 25 4 6" xfId="35860"/>
    <cellStyle name="Note 25 4 7" xfId="35861"/>
    <cellStyle name="Note 25 4 8" xfId="35862"/>
    <cellStyle name="Note 25 5" xfId="7658"/>
    <cellStyle name="Note 25 5 2" xfId="7659"/>
    <cellStyle name="Note 25 5 3" xfId="7660"/>
    <cellStyle name="Note 25 5 4" xfId="7661"/>
    <cellStyle name="Note 25 5 5" xfId="7662"/>
    <cellStyle name="Note 25 5 6" xfId="35863"/>
    <cellStyle name="Note 25 5 7" xfId="35864"/>
    <cellStyle name="Note 25 5 8" xfId="35865"/>
    <cellStyle name="Note 25 6" xfId="7663"/>
    <cellStyle name="Note 25 6 2" xfId="7664"/>
    <cellStyle name="Note 25 6 3" xfId="7665"/>
    <cellStyle name="Note 25 6 4" xfId="7666"/>
    <cellStyle name="Note 25 6 5" xfId="7667"/>
    <cellStyle name="Note 25 6 6" xfId="35866"/>
    <cellStyle name="Note 25 6 7" xfId="35867"/>
    <cellStyle name="Note 25 6 8" xfId="35868"/>
    <cellStyle name="Note 25 7" xfId="7668"/>
    <cellStyle name="Note 25 8" xfId="7669"/>
    <cellStyle name="Note 25 9" xfId="7670"/>
    <cellStyle name="Note 26" xfId="7671"/>
    <cellStyle name="Note 26 10" xfId="7672"/>
    <cellStyle name="Note 26 11" xfId="35869"/>
    <cellStyle name="Note 26 12" xfId="35870"/>
    <cellStyle name="Note 26 13" xfId="35871"/>
    <cellStyle name="Note 26 2" xfId="7673"/>
    <cellStyle name="Note 26 2 2" xfId="7674"/>
    <cellStyle name="Note 26 2 3" xfId="7675"/>
    <cellStyle name="Note 26 2 4" xfId="7676"/>
    <cellStyle name="Note 26 2 5" xfId="7677"/>
    <cellStyle name="Note 26 2 6" xfId="35872"/>
    <cellStyle name="Note 26 2 7" xfId="35873"/>
    <cellStyle name="Note 26 2 8" xfId="35874"/>
    <cellStyle name="Note 26 3" xfId="7678"/>
    <cellStyle name="Note 26 3 2" xfId="7679"/>
    <cellStyle name="Note 26 3 3" xfId="7680"/>
    <cellStyle name="Note 26 3 4" xfId="7681"/>
    <cellStyle name="Note 26 3 5" xfId="7682"/>
    <cellStyle name="Note 26 3 6" xfId="35875"/>
    <cellStyle name="Note 26 3 7" xfId="35876"/>
    <cellStyle name="Note 26 3 8" xfId="35877"/>
    <cellStyle name="Note 26 4" xfId="7683"/>
    <cellStyle name="Note 26 4 2" xfId="7684"/>
    <cellStyle name="Note 26 4 3" xfId="7685"/>
    <cellStyle name="Note 26 4 4" xfId="7686"/>
    <cellStyle name="Note 26 4 5" xfId="7687"/>
    <cellStyle name="Note 26 4 6" xfId="35878"/>
    <cellStyle name="Note 26 4 7" xfId="35879"/>
    <cellStyle name="Note 26 4 8" xfId="35880"/>
    <cellStyle name="Note 26 5" xfId="7688"/>
    <cellStyle name="Note 26 5 2" xfId="7689"/>
    <cellStyle name="Note 26 5 3" xfId="7690"/>
    <cellStyle name="Note 26 5 4" xfId="7691"/>
    <cellStyle name="Note 26 5 5" xfId="7692"/>
    <cellStyle name="Note 26 5 6" xfId="35881"/>
    <cellStyle name="Note 26 5 7" xfId="35882"/>
    <cellStyle name="Note 26 5 8" xfId="35883"/>
    <cellStyle name="Note 26 6" xfId="7693"/>
    <cellStyle name="Note 26 6 2" xfId="7694"/>
    <cellStyle name="Note 26 6 3" xfId="7695"/>
    <cellStyle name="Note 26 6 4" xfId="7696"/>
    <cellStyle name="Note 26 6 5" xfId="7697"/>
    <cellStyle name="Note 26 6 6" xfId="35884"/>
    <cellStyle name="Note 26 6 7" xfId="35885"/>
    <cellStyle name="Note 26 6 8" xfId="35886"/>
    <cellStyle name="Note 26 7" xfId="7698"/>
    <cellStyle name="Note 26 8" xfId="7699"/>
    <cellStyle name="Note 26 9" xfId="7700"/>
    <cellStyle name="Note 27" xfId="7701"/>
    <cellStyle name="Note 27 10" xfId="7702"/>
    <cellStyle name="Note 27 11" xfId="35887"/>
    <cellStyle name="Note 27 12" xfId="35888"/>
    <cellStyle name="Note 27 13" xfId="35889"/>
    <cellStyle name="Note 27 2" xfId="7703"/>
    <cellStyle name="Note 27 2 2" xfId="7704"/>
    <cellStyle name="Note 27 2 3" xfId="7705"/>
    <cellStyle name="Note 27 2 4" xfId="7706"/>
    <cellStyle name="Note 27 2 5" xfId="7707"/>
    <cellStyle name="Note 27 2 6" xfId="35890"/>
    <cellStyle name="Note 27 2 7" xfId="35891"/>
    <cellStyle name="Note 27 2 8" xfId="35892"/>
    <cellStyle name="Note 27 3" xfId="7708"/>
    <cellStyle name="Note 27 3 2" xfId="7709"/>
    <cellStyle name="Note 27 3 3" xfId="7710"/>
    <cellStyle name="Note 27 3 4" xfId="7711"/>
    <cellStyle name="Note 27 3 5" xfId="7712"/>
    <cellStyle name="Note 27 3 6" xfId="35893"/>
    <cellStyle name="Note 27 3 7" xfId="35894"/>
    <cellStyle name="Note 27 3 8" xfId="35895"/>
    <cellStyle name="Note 27 4" xfId="7713"/>
    <cellStyle name="Note 27 4 2" xfId="7714"/>
    <cellStyle name="Note 27 4 3" xfId="7715"/>
    <cellStyle name="Note 27 4 4" xfId="7716"/>
    <cellStyle name="Note 27 4 5" xfId="7717"/>
    <cellStyle name="Note 27 4 6" xfId="35896"/>
    <cellStyle name="Note 27 4 7" xfId="35897"/>
    <cellStyle name="Note 27 4 8" xfId="35898"/>
    <cellStyle name="Note 27 5" xfId="7718"/>
    <cellStyle name="Note 27 5 2" xfId="7719"/>
    <cellStyle name="Note 27 5 3" xfId="7720"/>
    <cellStyle name="Note 27 5 4" xfId="7721"/>
    <cellStyle name="Note 27 5 5" xfId="7722"/>
    <cellStyle name="Note 27 5 6" xfId="35899"/>
    <cellStyle name="Note 27 5 7" xfId="35900"/>
    <cellStyle name="Note 27 5 8" xfId="35901"/>
    <cellStyle name="Note 27 6" xfId="7723"/>
    <cellStyle name="Note 27 6 2" xfId="7724"/>
    <cellStyle name="Note 27 6 3" xfId="7725"/>
    <cellStyle name="Note 27 6 4" xfId="7726"/>
    <cellStyle name="Note 27 6 5" xfId="7727"/>
    <cellStyle name="Note 27 6 6" xfId="35902"/>
    <cellStyle name="Note 27 6 7" xfId="35903"/>
    <cellStyle name="Note 27 6 8" xfId="35904"/>
    <cellStyle name="Note 27 7" xfId="7728"/>
    <cellStyle name="Note 27 8" xfId="7729"/>
    <cellStyle name="Note 27 9" xfId="7730"/>
    <cellStyle name="Note 28" xfId="7731"/>
    <cellStyle name="Note 28 10" xfId="7732"/>
    <cellStyle name="Note 28 11" xfId="35905"/>
    <cellStyle name="Note 28 12" xfId="35906"/>
    <cellStyle name="Note 28 13" xfId="35907"/>
    <cellStyle name="Note 28 2" xfId="7733"/>
    <cellStyle name="Note 28 2 2" xfId="7734"/>
    <cellStyle name="Note 28 2 3" xfId="7735"/>
    <cellStyle name="Note 28 2 4" xfId="7736"/>
    <cellStyle name="Note 28 2 5" xfId="7737"/>
    <cellStyle name="Note 28 2 6" xfId="35908"/>
    <cellStyle name="Note 28 2 7" xfId="35909"/>
    <cellStyle name="Note 28 2 8" xfId="35910"/>
    <cellStyle name="Note 28 3" xfId="7738"/>
    <cellStyle name="Note 28 3 2" xfId="7739"/>
    <cellStyle name="Note 28 3 3" xfId="7740"/>
    <cellStyle name="Note 28 3 4" xfId="7741"/>
    <cellStyle name="Note 28 3 5" xfId="7742"/>
    <cellStyle name="Note 28 3 6" xfId="35911"/>
    <cellStyle name="Note 28 3 7" xfId="35912"/>
    <cellStyle name="Note 28 3 8" xfId="35913"/>
    <cellStyle name="Note 28 4" xfId="7743"/>
    <cellStyle name="Note 28 4 2" xfId="7744"/>
    <cellStyle name="Note 28 4 3" xfId="7745"/>
    <cellStyle name="Note 28 4 4" xfId="7746"/>
    <cellStyle name="Note 28 4 5" xfId="7747"/>
    <cellStyle name="Note 28 4 6" xfId="35914"/>
    <cellStyle name="Note 28 4 7" xfId="35915"/>
    <cellStyle name="Note 28 4 8" xfId="35916"/>
    <cellStyle name="Note 28 5" xfId="7748"/>
    <cellStyle name="Note 28 5 2" xfId="7749"/>
    <cellStyle name="Note 28 5 3" xfId="7750"/>
    <cellStyle name="Note 28 5 4" xfId="7751"/>
    <cellStyle name="Note 28 5 5" xfId="7752"/>
    <cellStyle name="Note 28 5 6" xfId="35917"/>
    <cellStyle name="Note 28 5 7" xfId="35918"/>
    <cellStyle name="Note 28 5 8" xfId="35919"/>
    <cellStyle name="Note 28 6" xfId="7753"/>
    <cellStyle name="Note 28 6 2" xfId="7754"/>
    <cellStyle name="Note 28 6 3" xfId="7755"/>
    <cellStyle name="Note 28 6 4" xfId="7756"/>
    <cellStyle name="Note 28 6 5" xfId="7757"/>
    <cellStyle name="Note 28 6 6" xfId="35920"/>
    <cellStyle name="Note 28 6 7" xfId="35921"/>
    <cellStyle name="Note 28 6 8" xfId="35922"/>
    <cellStyle name="Note 28 7" xfId="7758"/>
    <cellStyle name="Note 28 8" xfId="7759"/>
    <cellStyle name="Note 28 9" xfId="7760"/>
    <cellStyle name="Note 29" xfId="7761"/>
    <cellStyle name="Note 29 10" xfId="7762"/>
    <cellStyle name="Note 29 11" xfId="35923"/>
    <cellStyle name="Note 29 12" xfId="35924"/>
    <cellStyle name="Note 29 13" xfId="35925"/>
    <cellStyle name="Note 29 2" xfId="7763"/>
    <cellStyle name="Note 29 2 2" xfId="7764"/>
    <cellStyle name="Note 29 2 3" xfId="7765"/>
    <cellStyle name="Note 29 2 4" xfId="7766"/>
    <cellStyle name="Note 29 2 5" xfId="7767"/>
    <cellStyle name="Note 29 2 6" xfId="35926"/>
    <cellStyle name="Note 29 2 7" xfId="35927"/>
    <cellStyle name="Note 29 2 8" xfId="35928"/>
    <cellStyle name="Note 29 3" xfId="7768"/>
    <cellStyle name="Note 29 3 2" xfId="7769"/>
    <cellStyle name="Note 29 3 3" xfId="7770"/>
    <cellStyle name="Note 29 3 4" xfId="7771"/>
    <cellStyle name="Note 29 3 5" xfId="7772"/>
    <cellStyle name="Note 29 3 6" xfId="35929"/>
    <cellStyle name="Note 29 3 7" xfId="35930"/>
    <cellStyle name="Note 29 3 8" xfId="35931"/>
    <cellStyle name="Note 29 4" xfId="7773"/>
    <cellStyle name="Note 29 4 2" xfId="7774"/>
    <cellStyle name="Note 29 4 3" xfId="7775"/>
    <cellStyle name="Note 29 4 4" xfId="7776"/>
    <cellStyle name="Note 29 4 5" xfId="7777"/>
    <cellStyle name="Note 29 4 6" xfId="35932"/>
    <cellStyle name="Note 29 4 7" xfId="35933"/>
    <cellStyle name="Note 29 4 8" xfId="35934"/>
    <cellStyle name="Note 29 5" xfId="7778"/>
    <cellStyle name="Note 29 5 2" xfId="7779"/>
    <cellStyle name="Note 29 5 3" xfId="7780"/>
    <cellStyle name="Note 29 5 4" xfId="7781"/>
    <cellStyle name="Note 29 5 5" xfId="7782"/>
    <cellStyle name="Note 29 5 6" xfId="35935"/>
    <cellStyle name="Note 29 5 7" xfId="35936"/>
    <cellStyle name="Note 29 5 8" xfId="35937"/>
    <cellStyle name="Note 29 6" xfId="7783"/>
    <cellStyle name="Note 29 6 2" xfId="7784"/>
    <cellStyle name="Note 29 6 3" xfId="7785"/>
    <cellStyle name="Note 29 6 4" xfId="7786"/>
    <cellStyle name="Note 29 6 5" xfId="7787"/>
    <cellStyle name="Note 29 6 6" xfId="35938"/>
    <cellStyle name="Note 29 6 7" xfId="35939"/>
    <cellStyle name="Note 29 6 8" xfId="35940"/>
    <cellStyle name="Note 29 7" xfId="7788"/>
    <cellStyle name="Note 29 8" xfId="7789"/>
    <cellStyle name="Note 29 9" xfId="7790"/>
    <cellStyle name="Note 3" xfId="7791"/>
    <cellStyle name="Note 3 10" xfId="7792"/>
    <cellStyle name="Note 3 10 10" xfId="7793"/>
    <cellStyle name="Note 3 10 11" xfId="35941"/>
    <cellStyle name="Note 3 10 12" xfId="35942"/>
    <cellStyle name="Note 3 10 13" xfId="35943"/>
    <cellStyle name="Note 3 10 2" xfId="7794"/>
    <cellStyle name="Note 3 10 2 2" xfId="7795"/>
    <cellStyle name="Note 3 10 2 3" xfId="7796"/>
    <cellStyle name="Note 3 10 2 4" xfId="7797"/>
    <cellStyle name="Note 3 10 2 5" xfId="7798"/>
    <cellStyle name="Note 3 10 2 6" xfId="35944"/>
    <cellStyle name="Note 3 10 2 7" xfId="35945"/>
    <cellStyle name="Note 3 10 2 8" xfId="35946"/>
    <cellStyle name="Note 3 10 3" xfId="7799"/>
    <cellStyle name="Note 3 10 3 2" xfId="7800"/>
    <cellStyle name="Note 3 10 3 3" xfId="7801"/>
    <cellStyle name="Note 3 10 3 4" xfId="7802"/>
    <cellStyle name="Note 3 10 3 5" xfId="7803"/>
    <cellStyle name="Note 3 10 3 6" xfId="35947"/>
    <cellStyle name="Note 3 10 3 7" xfId="35948"/>
    <cellStyle name="Note 3 10 3 8" xfId="35949"/>
    <cellStyle name="Note 3 10 4" xfId="7804"/>
    <cellStyle name="Note 3 10 4 2" xfId="7805"/>
    <cellStyle name="Note 3 10 4 3" xfId="7806"/>
    <cellStyle name="Note 3 10 4 4" xfId="7807"/>
    <cellStyle name="Note 3 10 4 5" xfId="7808"/>
    <cellStyle name="Note 3 10 4 6" xfId="35950"/>
    <cellStyle name="Note 3 10 4 7" xfId="35951"/>
    <cellStyle name="Note 3 10 4 8" xfId="35952"/>
    <cellStyle name="Note 3 10 5" xfId="7809"/>
    <cellStyle name="Note 3 10 5 2" xfId="7810"/>
    <cellStyle name="Note 3 10 5 3" xfId="7811"/>
    <cellStyle name="Note 3 10 5 4" xfId="7812"/>
    <cellStyle name="Note 3 10 5 5" xfId="7813"/>
    <cellStyle name="Note 3 10 5 6" xfId="35953"/>
    <cellStyle name="Note 3 10 5 7" xfId="35954"/>
    <cellStyle name="Note 3 10 5 8" xfId="35955"/>
    <cellStyle name="Note 3 10 6" xfId="7814"/>
    <cellStyle name="Note 3 10 6 2" xfId="7815"/>
    <cellStyle name="Note 3 10 6 3" xfId="7816"/>
    <cellStyle name="Note 3 10 6 4" xfId="7817"/>
    <cellStyle name="Note 3 10 6 5" xfId="7818"/>
    <cellStyle name="Note 3 10 6 6" xfId="35956"/>
    <cellStyle name="Note 3 10 6 7" xfId="35957"/>
    <cellStyle name="Note 3 10 6 8" xfId="35958"/>
    <cellStyle name="Note 3 10 7" xfId="7819"/>
    <cellStyle name="Note 3 10 8" xfId="7820"/>
    <cellStyle name="Note 3 10 9" xfId="7821"/>
    <cellStyle name="Note 3 11" xfId="7822"/>
    <cellStyle name="Note 3 11 10" xfId="7823"/>
    <cellStyle name="Note 3 11 11" xfId="35959"/>
    <cellStyle name="Note 3 11 12" xfId="35960"/>
    <cellStyle name="Note 3 11 13" xfId="35961"/>
    <cellStyle name="Note 3 11 2" xfId="7824"/>
    <cellStyle name="Note 3 11 2 2" xfId="7825"/>
    <cellStyle name="Note 3 11 2 3" xfId="7826"/>
    <cellStyle name="Note 3 11 2 4" xfId="7827"/>
    <cellStyle name="Note 3 11 2 5" xfId="7828"/>
    <cellStyle name="Note 3 11 2 6" xfId="35962"/>
    <cellStyle name="Note 3 11 2 7" xfId="35963"/>
    <cellStyle name="Note 3 11 2 8" xfId="35964"/>
    <cellStyle name="Note 3 11 3" xfId="7829"/>
    <cellStyle name="Note 3 11 3 2" xfId="7830"/>
    <cellStyle name="Note 3 11 3 3" xfId="7831"/>
    <cellStyle name="Note 3 11 3 4" xfId="7832"/>
    <cellStyle name="Note 3 11 3 5" xfId="7833"/>
    <cellStyle name="Note 3 11 3 6" xfId="35965"/>
    <cellStyle name="Note 3 11 3 7" xfId="35966"/>
    <cellStyle name="Note 3 11 3 8" xfId="35967"/>
    <cellStyle name="Note 3 11 4" xfId="7834"/>
    <cellStyle name="Note 3 11 4 2" xfId="7835"/>
    <cellStyle name="Note 3 11 4 3" xfId="7836"/>
    <cellStyle name="Note 3 11 4 4" xfId="7837"/>
    <cellStyle name="Note 3 11 4 5" xfId="7838"/>
    <cellStyle name="Note 3 11 4 6" xfId="35968"/>
    <cellStyle name="Note 3 11 4 7" xfId="35969"/>
    <cellStyle name="Note 3 11 4 8" xfId="35970"/>
    <cellStyle name="Note 3 11 5" xfId="7839"/>
    <cellStyle name="Note 3 11 5 2" xfId="7840"/>
    <cellStyle name="Note 3 11 5 3" xfId="7841"/>
    <cellStyle name="Note 3 11 5 4" xfId="7842"/>
    <cellStyle name="Note 3 11 5 5" xfId="7843"/>
    <cellStyle name="Note 3 11 5 6" xfId="35971"/>
    <cellStyle name="Note 3 11 5 7" xfId="35972"/>
    <cellStyle name="Note 3 11 5 8" xfId="35973"/>
    <cellStyle name="Note 3 11 6" xfId="7844"/>
    <cellStyle name="Note 3 11 6 2" xfId="7845"/>
    <cellStyle name="Note 3 11 6 3" xfId="7846"/>
    <cellStyle name="Note 3 11 6 4" xfId="7847"/>
    <cellStyle name="Note 3 11 6 5" xfId="7848"/>
    <cellStyle name="Note 3 11 6 6" xfId="35974"/>
    <cellStyle name="Note 3 11 6 7" xfId="35975"/>
    <cellStyle name="Note 3 11 6 8" xfId="35976"/>
    <cellStyle name="Note 3 11 7" xfId="7849"/>
    <cellStyle name="Note 3 11 8" xfId="7850"/>
    <cellStyle name="Note 3 11 9" xfId="7851"/>
    <cellStyle name="Note 3 12" xfId="7852"/>
    <cellStyle name="Note 3 12 10" xfId="7853"/>
    <cellStyle name="Note 3 12 11" xfId="35977"/>
    <cellStyle name="Note 3 12 12" xfId="35978"/>
    <cellStyle name="Note 3 12 13" xfId="35979"/>
    <cellStyle name="Note 3 12 2" xfId="7854"/>
    <cellStyle name="Note 3 12 2 2" xfId="7855"/>
    <cellStyle name="Note 3 12 2 3" xfId="7856"/>
    <cellStyle name="Note 3 12 2 4" xfId="7857"/>
    <cellStyle name="Note 3 12 2 5" xfId="7858"/>
    <cellStyle name="Note 3 12 2 6" xfId="35980"/>
    <cellStyle name="Note 3 12 2 7" xfId="35981"/>
    <cellStyle name="Note 3 12 2 8" xfId="35982"/>
    <cellStyle name="Note 3 12 3" xfId="7859"/>
    <cellStyle name="Note 3 12 3 2" xfId="7860"/>
    <cellStyle name="Note 3 12 3 3" xfId="7861"/>
    <cellStyle name="Note 3 12 3 4" xfId="7862"/>
    <cellStyle name="Note 3 12 3 5" xfId="7863"/>
    <cellStyle name="Note 3 12 3 6" xfId="35983"/>
    <cellStyle name="Note 3 12 3 7" xfId="35984"/>
    <cellStyle name="Note 3 12 3 8" xfId="35985"/>
    <cellStyle name="Note 3 12 4" xfId="7864"/>
    <cellStyle name="Note 3 12 4 2" xfId="7865"/>
    <cellStyle name="Note 3 12 4 3" xfId="7866"/>
    <cellStyle name="Note 3 12 4 4" xfId="7867"/>
    <cellStyle name="Note 3 12 4 5" xfId="7868"/>
    <cellStyle name="Note 3 12 4 6" xfId="35986"/>
    <cellStyle name="Note 3 12 4 7" xfId="35987"/>
    <cellStyle name="Note 3 12 4 8" xfId="35988"/>
    <cellStyle name="Note 3 12 5" xfId="7869"/>
    <cellStyle name="Note 3 12 5 2" xfId="7870"/>
    <cellStyle name="Note 3 12 5 3" xfId="7871"/>
    <cellStyle name="Note 3 12 5 4" xfId="7872"/>
    <cellStyle name="Note 3 12 5 5" xfId="7873"/>
    <cellStyle name="Note 3 12 5 6" xfId="35989"/>
    <cellStyle name="Note 3 12 5 7" xfId="35990"/>
    <cellStyle name="Note 3 12 5 8" xfId="35991"/>
    <cellStyle name="Note 3 12 6" xfId="7874"/>
    <cellStyle name="Note 3 12 6 2" xfId="7875"/>
    <cellStyle name="Note 3 12 6 3" xfId="7876"/>
    <cellStyle name="Note 3 12 6 4" xfId="7877"/>
    <cellStyle name="Note 3 12 6 5" xfId="7878"/>
    <cellStyle name="Note 3 12 6 6" xfId="35992"/>
    <cellStyle name="Note 3 12 6 7" xfId="35993"/>
    <cellStyle name="Note 3 12 6 8" xfId="35994"/>
    <cellStyle name="Note 3 12 7" xfId="7879"/>
    <cellStyle name="Note 3 12 8" xfId="7880"/>
    <cellStyle name="Note 3 12 9" xfId="7881"/>
    <cellStyle name="Note 3 13" xfId="7882"/>
    <cellStyle name="Note 3 13 10" xfId="7883"/>
    <cellStyle name="Note 3 13 11" xfId="35995"/>
    <cellStyle name="Note 3 13 12" xfId="35996"/>
    <cellStyle name="Note 3 13 13" xfId="35997"/>
    <cellStyle name="Note 3 13 2" xfId="7884"/>
    <cellStyle name="Note 3 13 2 2" xfId="7885"/>
    <cellStyle name="Note 3 13 2 3" xfId="7886"/>
    <cellStyle name="Note 3 13 2 4" xfId="7887"/>
    <cellStyle name="Note 3 13 2 5" xfId="7888"/>
    <cellStyle name="Note 3 13 2 6" xfId="35998"/>
    <cellStyle name="Note 3 13 2 7" xfId="35999"/>
    <cellStyle name="Note 3 13 2 8" xfId="36000"/>
    <cellStyle name="Note 3 13 3" xfId="7889"/>
    <cellStyle name="Note 3 13 3 2" xfId="7890"/>
    <cellStyle name="Note 3 13 3 3" xfId="7891"/>
    <cellStyle name="Note 3 13 3 4" xfId="7892"/>
    <cellStyle name="Note 3 13 3 5" xfId="7893"/>
    <cellStyle name="Note 3 13 3 6" xfId="36001"/>
    <cellStyle name="Note 3 13 3 7" xfId="36002"/>
    <cellStyle name="Note 3 13 3 8" xfId="36003"/>
    <cellStyle name="Note 3 13 4" xfId="7894"/>
    <cellStyle name="Note 3 13 4 2" xfId="7895"/>
    <cellStyle name="Note 3 13 4 3" xfId="7896"/>
    <cellStyle name="Note 3 13 4 4" xfId="7897"/>
    <cellStyle name="Note 3 13 4 5" xfId="7898"/>
    <cellStyle name="Note 3 13 4 6" xfId="36004"/>
    <cellStyle name="Note 3 13 4 7" xfId="36005"/>
    <cellStyle name="Note 3 13 4 8" xfId="36006"/>
    <cellStyle name="Note 3 13 5" xfId="7899"/>
    <cellStyle name="Note 3 13 5 2" xfId="7900"/>
    <cellStyle name="Note 3 13 5 3" xfId="7901"/>
    <cellStyle name="Note 3 13 5 4" xfId="7902"/>
    <cellStyle name="Note 3 13 5 5" xfId="7903"/>
    <cellStyle name="Note 3 13 5 6" xfId="36007"/>
    <cellStyle name="Note 3 13 5 7" xfId="36008"/>
    <cellStyle name="Note 3 13 5 8" xfId="36009"/>
    <cellStyle name="Note 3 13 6" xfId="7904"/>
    <cellStyle name="Note 3 13 6 2" xfId="7905"/>
    <cellStyle name="Note 3 13 6 3" xfId="7906"/>
    <cellStyle name="Note 3 13 6 4" xfId="7907"/>
    <cellStyle name="Note 3 13 6 5" xfId="7908"/>
    <cellStyle name="Note 3 13 6 6" xfId="36010"/>
    <cellStyle name="Note 3 13 6 7" xfId="36011"/>
    <cellStyle name="Note 3 13 6 8" xfId="36012"/>
    <cellStyle name="Note 3 13 7" xfId="7909"/>
    <cellStyle name="Note 3 13 8" xfId="7910"/>
    <cellStyle name="Note 3 13 9" xfId="7911"/>
    <cellStyle name="Note 3 14" xfId="7912"/>
    <cellStyle name="Note 3 14 10" xfId="7913"/>
    <cellStyle name="Note 3 14 11" xfId="36013"/>
    <cellStyle name="Note 3 14 12" xfId="36014"/>
    <cellStyle name="Note 3 14 13" xfId="36015"/>
    <cellStyle name="Note 3 14 2" xfId="7914"/>
    <cellStyle name="Note 3 14 2 2" xfId="7915"/>
    <cellStyle name="Note 3 14 2 3" xfId="7916"/>
    <cellStyle name="Note 3 14 2 4" xfId="7917"/>
    <cellStyle name="Note 3 14 2 5" xfId="7918"/>
    <cellStyle name="Note 3 14 2 6" xfId="36016"/>
    <cellStyle name="Note 3 14 2 7" xfId="36017"/>
    <cellStyle name="Note 3 14 2 8" xfId="36018"/>
    <cellStyle name="Note 3 14 3" xfId="7919"/>
    <cellStyle name="Note 3 14 3 2" xfId="7920"/>
    <cellStyle name="Note 3 14 3 3" xfId="7921"/>
    <cellStyle name="Note 3 14 3 4" xfId="7922"/>
    <cellStyle name="Note 3 14 3 5" xfId="7923"/>
    <cellStyle name="Note 3 14 3 6" xfId="36019"/>
    <cellStyle name="Note 3 14 3 7" xfId="36020"/>
    <cellStyle name="Note 3 14 3 8" xfId="36021"/>
    <cellStyle name="Note 3 14 4" xfId="7924"/>
    <cellStyle name="Note 3 14 4 2" xfId="7925"/>
    <cellStyle name="Note 3 14 4 3" xfId="7926"/>
    <cellStyle name="Note 3 14 4 4" xfId="7927"/>
    <cellStyle name="Note 3 14 4 5" xfId="7928"/>
    <cellStyle name="Note 3 14 4 6" xfId="36022"/>
    <cellStyle name="Note 3 14 4 7" xfId="36023"/>
    <cellStyle name="Note 3 14 4 8" xfId="36024"/>
    <cellStyle name="Note 3 14 5" xfId="7929"/>
    <cellStyle name="Note 3 14 5 2" xfId="7930"/>
    <cellStyle name="Note 3 14 5 3" xfId="7931"/>
    <cellStyle name="Note 3 14 5 4" xfId="7932"/>
    <cellStyle name="Note 3 14 5 5" xfId="7933"/>
    <cellStyle name="Note 3 14 5 6" xfId="36025"/>
    <cellStyle name="Note 3 14 5 7" xfId="36026"/>
    <cellStyle name="Note 3 14 5 8" xfId="36027"/>
    <cellStyle name="Note 3 14 6" xfId="7934"/>
    <cellStyle name="Note 3 14 6 2" xfId="7935"/>
    <cellStyle name="Note 3 14 6 3" xfId="7936"/>
    <cellStyle name="Note 3 14 6 4" xfId="7937"/>
    <cellStyle name="Note 3 14 6 5" xfId="7938"/>
    <cellStyle name="Note 3 14 6 6" xfId="36028"/>
    <cellStyle name="Note 3 14 6 7" xfId="36029"/>
    <cellStyle name="Note 3 14 6 8" xfId="36030"/>
    <cellStyle name="Note 3 14 7" xfId="7939"/>
    <cellStyle name="Note 3 14 8" xfId="7940"/>
    <cellStyle name="Note 3 14 9" xfId="7941"/>
    <cellStyle name="Note 3 15" xfId="7942"/>
    <cellStyle name="Note 3 15 2" xfId="7943"/>
    <cellStyle name="Note 3 15 3" xfId="7944"/>
    <cellStyle name="Note 3 15 4" xfId="7945"/>
    <cellStyle name="Note 3 15 5" xfId="7946"/>
    <cellStyle name="Note 3 15 6" xfId="36031"/>
    <cellStyle name="Note 3 15 7" xfId="36032"/>
    <cellStyle name="Note 3 15 8" xfId="36033"/>
    <cellStyle name="Note 3 16" xfId="7947"/>
    <cellStyle name="Note 3 16 2" xfId="7948"/>
    <cellStyle name="Note 3 16 3" xfId="7949"/>
    <cellStyle name="Note 3 16 4" xfId="7950"/>
    <cellStyle name="Note 3 16 5" xfId="7951"/>
    <cellStyle name="Note 3 16 6" xfId="36034"/>
    <cellStyle name="Note 3 16 7" xfId="36035"/>
    <cellStyle name="Note 3 16 8" xfId="36036"/>
    <cellStyle name="Note 3 17" xfId="7952"/>
    <cellStyle name="Note 3 17 2" xfId="7953"/>
    <cellStyle name="Note 3 17 3" xfId="7954"/>
    <cellStyle name="Note 3 17 4" xfId="7955"/>
    <cellStyle name="Note 3 17 5" xfId="7956"/>
    <cellStyle name="Note 3 17 6" xfId="36037"/>
    <cellStyle name="Note 3 17 7" xfId="36038"/>
    <cellStyle name="Note 3 17 8" xfId="36039"/>
    <cellStyle name="Note 3 18" xfId="7957"/>
    <cellStyle name="Note 3 18 2" xfId="7958"/>
    <cellStyle name="Note 3 18 3" xfId="7959"/>
    <cellStyle name="Note 3 18 4" xfId="7960"/>
    <cellStyle name="Note 3 18 5" xfId="7961"/>
    <cellStyle name="Note 3 18 6" xfId="36040"/>
    <cellStyle name="Note 3 18 7" xfId="36041"/>
    <cellStyle name="Note 3 18 8" xfId="36042"/>
    <cellStyle name="Note 3 19" xfId="7962"/>
    <cellStyle name="Note 3 19 2" xfId="7963"/>
    <cellStyle name="Note 3 19 3" xfId="7964"/>
    <cellStyle name="Note 3 19 4" xfId="7965"/>
    <cellStyle name="Note 3 19 5" xfId="7966"/>
    <cellStyle name="Note 3 19 6" xfId="36043"/>
    <cellStyle name="Note 3 19 7" xfId="36044"/>
    <cellStyle name="Note 3 19 8" xfId="36045"/>
    <cellStyle name="Note 3 2" xfId="7967"/>
    <cellStyle name="Note 3 2 10" xfId="7968"/>
    <cellStyle name="Note 3 2 11" xfId="36046"/>
    <cellStyle name="Note 3 2 12" xfId="36047"/>
    <cellStyle name="Note 3 2 13" xfId="36048"/>
    <cellStyle name="Note 3 2 2" xfId="7969"/>
    <cellStyle name="Note 3 2 2 2" xfId="7970"/>
    <cellStyle name="Note 3 2 2 3" xfId="7971"/>
    <cellStyle name="Note 3 2 2 4" xfId="7972"/>
    <cellStyle name="Note 3 2 2 5" xfId="7973"/>
    <cellStyle name="Note 3 2 2 6" xfId="36049"/>
    <cellStyle name="Note 3 2 2 7" xfId="36050"/>
    <cellStyle name="Note 3 2 2 8" xfId="36051"/>
    <cellStyle name="Note 3 2 3" xfId="7974"/>
    <cellStyle name="Note 3 2 3 2" xfId="7975"/>
    <cellStyle name="Note 3 2 3 3" xfId="7976"/>
    <cellStyle name="Note 3 2 3 4" xfId="7977"/>
    <cellStyle name="Note 3 2 3 5" xfId="7978"/>
    <cellStyle name="Note 3 2 3 6" xfId="36052"/>
    <cellStyle name="Note 3 2 3 7" xfId="36053"/>
    <cellStyle name="Note 3 2 3 8" xfId="36054"/>
    <cellStyle name="Note 3 2 4" xfId="7979"/>
    <cellStyle name="Note 3 2 4 2" xfId="7980"/>
    <cellStyle name="Note 3 2 4 3" xfId="7981"/>
    <cellStyle name="Note 3 2 4 4" xfId="7982"/>
    <cellStyle name="Note 3 2 4 5" xfId="7983"/>
    <cellStyle name="Note 3 2 4 6" xfId="36055"/>
    <cellStyle name="Note 3 2 4 7" xfId="36056"/>
    <cellStyle name="Note 3 2 4 8" xfId="36057"/>
    <cellStyle name="Note 3 2 5" xfId="7984"/>
    <cellStyle name="Note 3 2 5 2" xfId="7985"/>
    <cellStyle name="Note 3 2 5 3" xfId="7986"/>
    <cellStyle name="Note 3 2 5 4" xfId="7987"/>
    <cellStyle name="Note 3 2 5 5" xfId="7988"/>
    <cellStyle name="Note 3 2 5 6" xfId="36058"/>
    <cellStyle name="Note 3 2 5 7" xfId="36059"/>
    <cellStyle name="Note 3 2 5 8" xfId="36060"/>
    <cellStyle name="Note 3 2 6" xfId="7989"/>
    <cellStyle name="Note 3 2 6 2" xfId="7990"/>
    <cellStyle name="Note 3 2 6 3" xfId="7991"/>
    <cellStyle name="Note 3 2 6 4" xfId="7992"/>
    <cellStyle name="Note 3 2 6 5" xfId="7993"/>
    <cellStyle name="Note 3 2 6 6" xfId="36061"/>
    <cellStyle name="Note 3 2 6 7" xfId="36062"/>
    <cellStyle name="Note 3 2 6 8" xfId="36063"/>
    <cellStyle name="Note 3 2 7" xfId="7994"/>
    <cellStyle name="Note 3 2 8" xfId="7995"/>
    <cellStyle name="Note 3 2 9" xfId="7996"/>
    <cellStyle name="Note 3 20" xfId="7997"/>
    <cellStyle name="Note 3 21" xfId="7998"/>
    <cellStyle name="Note 3 22" xfId="7999"/>
    <cellStyle name="Note 3 23" xfId="8000"/>
    <cellStyle name="Note 3 24" xfId="36064"/>
    <cellStyle name="Note 3 25" xfId="36065"/>
    <cellStyle name="Note 3 26" xfId="36066"/>
    <cellStyle name="Note 3 27" xfId="36067"/>
    <cellStyle name="Note 3 28" xfId="36068"/>
    <cellStyle name="Note 3 3" xfId="8001"/>
    <cellStyle name="Note 3 3 10" xfId="8002"/>
    <cellStyle name="Note 3 3 11" xfId="36069"/>
    <cellStyle name="Note 3 3 12" xfId="36070"/>
    <cellStyle name="Note 3 3 13" xfId="36071"/>
    <cellStyle name="Note 3 3 2" xfId="8003"/>
    <cellStyle name="Note 3 3 2 2" xfId="8004"/>
    <cellStyle name="Note 3 3 2 3" xfId="8005"/>
    <cellStyle name="Note 3 3 2 4" xfId="8006"/>
    <cellStyle name="Note 3 3 2 5" xfId="8007"/>
    <cellStyle name="Note 3 3 2 6" xfId="36072"/>
    <cellStyle name="Note 3 3 2 7" xfId="36073"/>
    <cellStyle name="Note 3 3 2 8" xfId="36074"/>
    <cellStyle name="Note 3 3 3" xfId="8008"/>
    <cellStyle name="Note 3 3 3 2" xfId="8009"/>
    <cellStyle name="Note 3 3 3 3" xfId="8010"/>
    <cellStyle name="Note 3 3 3 4" xfId="8011"/>
    <cellStyle name="Note 3 3 3 5" xfId="8012"/>
    <cellStyle name="Note 3 3 3 6" xfId="36075"/>
    <cellStyle name="Note 3 3 3 7" xfId="36076"/>
    <cellStyle name="Note 3 3 3 8" xfId="36077"/>
    <cellStyle name="Note 3 3 4" xfId="8013"/>
    <cellStyle name="Note 3 3 4 2" xfId="8014"/>
    <cellStyle name="Note 3 3 4 3" xfId="8015"/>
    <cellStyle name="Note 3 3 4 4" xfId="8016"/>
    <cellStyle name="Note 3 3 4 5" xfId="8017"/>
    <cellStyle name="Note 3 3 4 6" xfId="36078"/>
    <cellStyle name="Note 3 3 4 7" xfId="36079"/>
    <cellStyle name="Note 3 3 4 8" xfId="36080"/>
    <cellStyle name="Note 3 3 5" xfId="8018"/>
    <cellStyle name="Note 3 3 5 2" xfId="8019"/>
    <cellStyle name="Note 3 3 5 3" xfId="8020"/>
    <cellStyle name="Note 3 3 5 4" xfId="8021"/>
    <cellStyle name="Note 3 3 5 5" xfId="8022"/>
    <cellStyle name="Note 3 3 5 6" xfId="36081"/>
    <cellStyle name="Note 3 3 5 7" xfId="36082"/>
    <cellStyle name="Note 3 3 5 8" xfId="36083"/>
    <cellStyle name="Note 3 3 6" xfId="8023"/>
    <cellStyle name="Note 3 3 6 2" xfId="8024"/>
    <cellStyle name="Note 3 3 6 3" xfId="8025"/>
    <cellStyle name="Note 3 3 6 4" xfId="8026"/>
    <cellStyle name="Note 3 3 6 5" xfId="8027"/>
    <cellStyle name="Note 3 3 6 6" xfId="36084"/>
    <cellStyle name="Note 3 3 6 7" xfId="36085"/>
    <cellStyle name="Note 3 3 6 8" xfId="36086"/>
    <cellStyle name="Note 3 3 7" xfId="8028"/>
    <cellStyle name="Note 3 3 8" xfId="8029"/>
    <cellStyle name="Note 3 3 9" xfId="8030"/>
    <cellStyle name="Note 3 4" xfId="8031"/>
    <cellStyle name="Note 3 4 10" xfId="8032"/>
    <cellStyle name="Note 3 4 11" xfId="36087"/>
    <cellStyle name="Note 3 4 12" xfId="36088"/>
    <cellStyle name="Note 3 4 13" xfId="36089"/>
    <cellStyle name="Note 3 4 2" xfId="8033"/>
    <cellStyle name="Note 3 4 2 2" xfId="8034"/>
    <cellStyle name="Note 3 4 2 3" xfId="8035"/>
    <cellStyle name="Note 3 4 2 4" xfId="8036"/>
    <cellStyle name="Note 3 4 2 5" xfId="8037"/>
    <cellStyle name="Note 3 4 2 6" xfId="36090"/>
    <cellStyle name="Note 3 4 2 7" xfId="36091"/>
    <cellStyle name="Note 3 4 2 8" xfId="36092"/>
    <cellStyle name="Note 3 4 3" xfId="8038"/>
    <cellStyle name="Note 3 4 3 2" xfId="8039"/>
    <cellStyle name="Note 3 4 3 3" xfId="8040"/>
    <cellStyle name="Note 3 4 3 4" xfId="8041"/>
    <cellStyle name="Note 3 4 3 5" xfId="8042"/>
    <cellStyle name="Note 3 4 3 6" xfId="36093"/>
    <cellStyle name="Note 3 4 3 7" xfId="36094"/>
    <cellStyle name="Note 3 4 3 8" xfId="36095"/>
    <cellStyle name="Note 3 4 4" xfId="8043"/>
    <cellStyle name="Note 3 4 4 2" xfId="8044"/>
    <cellStyle name="Note 3 4 4 3" xfId="8045"/>
    <cellStyle name="Note 3 4 4 4" xfId="8046"/>
    <cellStyle name="Note 3 4 4 5" xfId="8047"/>
    <cellStyle name="Note 3 4 4 6" xfId="36096"/>
    <cellStyle name="Note 3 4 4 7" xfId="36097"/>
    <cellStyle name="Note 3 4 4 8" xfId="36098"/>
    <cellStyle name="Note 3 4 5" xfId="8048"/>
    <cellStyle name="Note 3 4 5 2" xfId="8049"/>
    <cellStyle name="Note 3 4 5 3" xfId="8050"/>
    <cellStyle name="Note 3 4 5 4" xfId="8051"/>
    <cellStyle name="Note 3 4 5 5" xfId="8052"/>
    <cellStyle name="Note 3 4 5 6" xfId="36099"/>
    <cellStyle name="Note 3 4 5 7" xfId="36100"/>
    <cellStyle name="Note 3 4 5 8" xfId="36101"/>
    <cellStyle name="Note 3 4 6" xfId="8053"/>
    <cellStyle name="Note 3 4 6 2" xfId="8054"/>
    <cellStyle name="Note 3 4 6 3" xfId="8055"/>
    <cellStyle name="Note 3 4 6 4" xfId="8056"/>
    <cellStyle name="Note 3 4 6 5" xfId="8057"/>
    <cellStyle name="Note 3 4 6 6" xfId="36102"/>
    <cellStyle name="Note 3 4 6 7" xfId="36103"/>
    <cellStyle name="Note 3 4 6 8" xfId="36104"/>
    <cellStyle name="Note 3 4 7" xfId="8058"/>
    <cellStyle name="Note 3 4 8" xfId="8059"/>
    <cellStyle name="Note 3 4 9" xfId="8060"/>
    <cellStyle name="Note 3 5" xfId="8061"/>
    <cellStyle name="Note 3 5 10" xfId="8062"/>
    <cellStyle name="Note 3 5 11" xfId="36105"/>
    <cellStyle name="Note 3 5 12" xfId="36106"/>
    <cellStyle name="Note 3 5 13" xfId="36107"/>
    <cellStyle name="Note 3 5 2" xfId="8063"/>
    <cellStyle name="Note 3 5 2 2" xfId="8064"/>
    <cellStyle name="Note 3 5 2 3" xfId="8065"/>
    <cellStyle name="Note 3 5 2 4" xfId="8066"/>
    <cellStyle name="Note 3 5 2 5" xfId="8067"/>
    <cellStyle name="Note 3 5 2 6" xfId="36108"/>
    <cellStyle name="Note 3 5 2 7" xfId="36109"/>
    <cellStyle name="Note 3 5 2 8" xfId="36110"/>
    <cellStyle name="Note 3 5 3" xfId="8068"/>
    <cellStyle name="Note 3 5 3 2" xfId="8069"/>
    <cellStyle name="Note 3 5 3 3" xfId="8070"/>
    <cellStyle name="Note 3 5 3 4" xfId="8071"/>
    <cellStyle name="Note 3 5 3 5" xfId="8072"/>
    <cellStyle name="Note 3 5 3 6" xfId="36111"/>
    <cellStyle name="Note 3 5 3 7" xfId="36112"/>
    <cellStyle name="Note 3 5 3 8" xfId="36113"/>
    <cellStyle name="Note 3 5 4" xfId="8073"/>
    <cellStyle name="Note 3 5 4 2" xfId="8074"/>
    <cellStyle name="Note 3 5 4 3" xfId="8075"/>
    <cellStyle name="Note 3 5 4 4" xfId="8076"/>
    <cellStyle name="Note 3 5 4 5" xfId="8077"/>
    <cellStyle name="Note 3 5 4 6" xfId="36114"/>
    <cellStyle name="Note 3 5 4 7" xfId="36115"/>
    <cellStyle name="Note 3 5 4 8" xfId="36116"/>
    <cellStyle name="Note 3 5 5" xfId="8078"/>
    <cellStyle name="Note 3 5 5 2" xfId="8079"/>
    <cellStyle name="Note 3 5 5 3" xfId="8080"/>
    <cellStyle name="Note 3 5 5 4" xfId="8081"/>
    <cellStyle name="Note 3 5 5 5" xfId="8082"/>
    <cellStyle name="Note 3 5 5 6" xfId="36117"/>
    <cellStyle name="Note 3 5 5 7" xfId="36118"/>
    <cellStyle name="Note 3 5 5 8" xfId="36119"/>
    <cellStyle name="Note 3 5 6" xfId="8083"/>
    <cellStyle name="Note 3 5 6 2" xfId="8084"/>
    <cellStyle name="Note 3 5 6 3" xfId="8085"/>
    <cellStyle name="Note 3 5 6 4" xfId="8086"/>
    <cellStyle name="Note 3 5 6 5" xfId="8087"/>
    <cellStyle name="Note 3 5 6 6" xfId="36120"/>
    <cellStyle name="Note 3 5 6 7" xfId="36121"/>
    <cellStyle name="Note 3 5 6 8" xfId="36122"/>
    <cellStyle name="Note 3 5 7" xfId="8088"/>
    <cellStyle name="Note 3 5 8" xfId="8089"/>
    <cellStyle name="Note 3 5 9" xfId="8090"/>
    <cellStyle name="Note 3 6" xfId="8091"/>
    <cellStyle name="Note 3 6 10" xfId="8092"/>
    <cellStyle name="Note 3 6 11" xfId="36123"/>
    <cellStyle name="Note 3 6 12" xfId="36124"/>
    <cellStyle name="Note 3 6 13" xfId="36125"/>
    <cellStyle name="Note 3 6 2" xfId="8093"/>
    <cellStyle name="Note 3 6 2 2" xfId="8094"/>
    <cellStyle name="Note 3 6 2 3" xfId="8095"/>
    <cellStyle name="Note 3 6 2 4" xfId="8096"/>
    <cellStyle name="Note 3 6 2 5" xfId="8097"/>
    <cellStyle name="Note 3 6 2 6" xfId="36126"/>
    <cellStyle name="Note 3 6 2 7" xfId="36127"/>
    <cellStyle name="Note 3 6 2 8" xfId="36128"/>
    <cellStyle name="Note 3 6 3" xfId="8098"/>
    <cellStyle name="Note 3 6 3 2" xfId="8099"/>
    <cellStyle name="Note 3 6 3 3" xfId="8100"/>
    <cellStyle name="Note 3 6 3 4" xfId="8101"/>
    <cellStyle name="Note 3 6 3 5" xfId="8102"/>
    <cellStyle name="Note 3 6 3 6" xfId="36129"/>
    <cellStyle name="Note 3 6 3 7" xfId="36130"/>
    <cellStyle name="Note 3 6 3 8" xfId="36131"/>
    <cellStyle name="Note 3 6 4" xfId="8103"/>
    <cellStyle name="Note 3 6 4 2" xfId="8104"/>
    <cellStyle name="Note 3 6 4 3" xfId="8105"/>
    <cellStyle name="Note 3 6 4 4" xfId="8106"/>
    <cellStyle name="Note 3 6 4 5" xfId="8107"/>
    <cellStyle name="Note 3 6 4 6" xfId="36132"/>
    <cellStyle name="Note 3 6 4 7" xfId="36133"/>
    <cellStyle name="Note 3 6 4 8" xfId="36134"/>
    <cellStyle name="Note 3 6 5" xfId="8108"/>
    <cellStyle name="Note 3 6 5 2" xfId="8109"/>
    <cellStyle name="Note 3 6 5 3" xfId="8110"/>
    <cellStyle name="Note 3 6 5 4" xfId="8111"/>
    <cellStyle name="Note 3 6 5 5" xfId="8112"/>
    <cellStyle name="Note 3 6 5 6" xfId="36135"/>
    <cellStyle name="Note 3 6 5 7" xfId="36136"/>
    <cellStyle name="Note 3 6 5 8" xfId="36137"/>
    <cellStyle name="Note 3 6 6" xfId="8113"/>
    <cellStyle name="Note 3 6 6 2" xfId="8114"/>
    <cellStyle name="Note 3 6 6 3" xfId="8115"/>
    <cellStyle name="Note 3 6 6 4" xfId="8116"/>
    <cellStyle name="Note 3 6 6 5" xfId="8117"/>
    <cellStyle name="Note 3 6 6 6" xfId="36138"/>
    <cellStyle name="Note 3 6 6 7" xfId="36139"/>
    <cellStyle name="Note 3 6 6 8" xfId="36140"/>
    <cellStyle name="Note 3 6 7" xfId="8118"/>
    <cellStyle name="Note 3 6 8" xfId="8119"/>
    <cellStyle name="Note 3 6 9" xfId="8120"/>
    <cellStyle name="Note 3 7" xfId="8121"/>
    <cellStyle name="Note 3 7 10" xfId="8122"/>
    <cellStyle name="Note 3 7 11" xfId="36141"/>
    <cellStyle name="Note 3 7 12" xfId="36142"/>
    <cellStyle name="Note 3 7 13" xfId="36143"/>
    <cellStyle name="Note 3 7 2" xfId="8123"/>
    <cellStyle name="Note 3 7 2 2" xfId="8124"/>
    <cellStyle name="Note 3 7 2 3" xfId="8125"/>
    <cellStyle name="Note 3 7 2 4" xfId="8126"/>
    <cellStyle name="Note 3 7 2 5" xfId="8127"/>
    <cellStyle name="Note 3 7 2 6" xfId="36144"/>
    <cellStyle name="Note 3 7 2 7" xfId="36145"/>
    <cellStyle name="Note 3 7 2 8" xfId="36146"/>
    <cellStyle name="Note 3 7 3" xfId="8128"/>
    <cellStyle name="Note 3 7 3 2" xfId="8129"/>
    <cellStyle name="Note 3 7 3 3" xfId="8130"/>
    <cellStyle name="Note 3 7 3 4" xfId="8131"/>
    <cellStyle name="Note 3 7 3 5" xfId="8132"/>
    <cellStyle name="Note 3 7 3 6" xfId="36147"/>
    <cellStyle name="Note 3 7 3 7" xfId="36148"/>
    <cellStyle name="Note 3 7 3 8" xfId="36149"/>
    <cellStyle name="Note 3 7 4" xfId="8133"/>
    <cellStyle name="Note 3 7 4 2" xfId="8134"/>
    <cellStyle name="Note 3 7 4 3" xfId="8135"/>
    <cellStyle name="Note 3 7 4 4" xfId="8136"/>
    <cellStyle name="Note 3 7 4 5" xfId="8137"/>
    <cellStyle name="Note 3 7 4 6" xfId="36150"/>
    <cellStyle name="Note 3 7 4 7" xfId="36151"/>
    <cellStyle name="Note 3 7 4 8" xfId="36152"/>
    <cellStyle name="Note 3 7 5" xfId="8138"/>
    <cellStyle name="Note 3 7 5 2" xfId="8139"/>
    <cellStyle name="Note 3 7 5 3" xfId="8140"/>
    <cellStyle name="Note 3 7 5 4" xfId="8141"/>
    <cellStyle name="Note 3 7 5 5" xfId="8142"/>
    <cellStyle name="Note 3 7 5 6" xfId="36153"/>
    <cellStyle name="Note 3 7 5 7" xfId="36154"/>
    <cellStyle name="Note 3 7 5 8" xfId="36155"/>
    <cellStyle name="Note 3 7 6" xfId="8143"/>
    <cellStyle name="Note 3 7 6 2" xfId="8144"/>
    <cellStyle name="Note 3 7 6 3" xfId="8145"/>
    <cellStyle name="Note 3 7 6 4" xfId="8146"/>
    <cellStyle name="Note 3 7 6 5" xfId="8147"/>
    <cellStyle name="Note 3 7 6 6" xfId="36156"/>
    <cellStyle name="Note 3 7 6 7" xfId="36157"/>
    <cellStyle name="Note 3 7 6 8" xfId="36158"/>
    <cellStyle name="Note 3 7 7" xfId="8148"/>
    <cellStyle name="Note 3 7 8" xfId="8149"/>
    <cellStyle name="Note 3 7 9" xfId="8150"/>
    <cellStyle name="Note 3 8" xfId="8151"/>
    <cellStyle name="Note 3 8 10" xfId="8152"/>
    <cellStyle name="Note 3 8 11" xfId="36159"/>
    <cellStyle name="Note 3 8 12" xfId="36160"/>
    <cellStyle name="Note 3 8 13" xfId="36161"/>
    <cellStyle name="Note 3 8 2" xfId="8153"/>
    <cellStyle name="Note 3 8 2 2" xfId="8154"/>
    <cellStyle name="Note 3 8 2 3" xfId="8155"/>
    <cellStyle name="Note 3 8 2 4" xfId="8156"/>
    <cellStyle name="Note 3 8 2 5" xfId="8157"/>
    <cellStyle name="Note 3 8 2 6" xfId="36162"/>
    <cellStyle name="Note 3 8 2 7" xfId="36163"/>
    <cellStyle name="Note 3 8 2 8" xfId="36164"/>
    <cellStyle name="Note 3 8 3" xfId="8158"/>
    <cellStyle name="Note 3 8 3 2" xfId="8159"/>
    <cellStyle name="Note 3 8 3 3" xfId="8160"/>
    <cellStyle name="Note 3 8 3 4" xfId="8161"/>
    <cellStyle name="Note 3 8 3 5" xfId="8162"/>
    <cellStyle name="Note 3 8 3 6" xfId="36165"/>
    <cellStyle name="Note 3 8 3 7" xfId="36166"/>
    <cellStyle name="Note 3 8 3 8" xfId="36167"/>
    <cellStyle name="Note 3 8 4" xfId="8163"/>
    <cellStyle name="Note 3 8 4 2" xfId="8164"/>
    <cellStyle name="Note 3 8 4 3" xfId="8165"/>
    <cellStyle name="Note 3 8 4 4" xfId="8166"/>
    <cellStyle name="Note 3 8 4 5" xfId="8167"/>
    <cellStyle name="Note 3 8 4 6" xfId="36168"/>
    <cellStyle name="Note 3 8 4 7" xfId="36169"/>
    <cellStyle name="Note 3 8 4 8" xfId="36170"/>
    <cellStyle name="Note 3 8 5" xfId="8168"/>
    <cellStyle name="Note 3 8 5 2" xfId="8169"/>
    <cellStyle name="Note 3 8 5 3" xfId="8170"/>
    <cellStyle name="Note 3 8 5 4" xfId="8171"/>
    <cellStyle name="Note 3 8 5 5" xfId="8172"/>
    <cellStyle name="Note 3 8 5 6" xfId="36171"/>
    <cellStyle name="Note 3 8 5 7" xfId="36172"/>
    <cellStyle name="Note 3 8 5 8" xfId="36173"/>
    <cellStyle name="Note 3 8 6" xfId="8173"/>
    <cellStyle name="Note 3 8 6 2" xfId="8174"/>
    <cellStyle name="Note 3 8 6 3" xfId="8175"/>
    <cellStyle name="Note 3 8 6 4" xfId="8176"/>
    <cellStyle name="Note 3 8 6 5" xfId="8177"/>
    <cellStyle name="Note 3 8 6 6" xfId="36174"/>
    <cellStyle name="Note 3 8 6 7" xfId="36175"/>
    <cellStyle name="Note 3 8 6 8" xfId="36176"/>
    <cellStyle name="Note 3 8 7" xfId="8178"/>
    <cellStyle name="Note 3 8 8" xfId="8179"/>
    <cellStyle name="Note 3 8 9" xfId="8180"/>
    <cellStyle name="Note 3 9" xfId="8181"/>
    <cellStyle name="Note 3 9 10" xfId="8182"/>
    <cellStyle name="Note 3 9 11" xfId="36177"/>
    <cellStyle name="Note 3 9 12" xfId="36178"/>
    <cellStyle name="Note 3 9 13" xfId="36179"/>
    <cellStyle name="Note 3 9 2" xfId="8183"/>
    <cellStyle name="Note 3 9 2 2" xfId="8184"/>
    <cellStyle name="Note 3 9 2 3" xfId="8185"/>
    <cellStyle name="Note 3 9 2 4" xfId="8186"/>
    <cellStyle name="Note 3 9 2 5" xfId="8187"/>
    <cellStyle name="Note 3 9 2 6" xfId="36180"/>
    <cellStyle name="Note 3 9 2 7" xfId="36181"/>
    <cellStyle name="Note 3 9 2 8" xfId="36182"/>
    <cellStyle name="Note 3 9 3" xfId="8188"/>
    <cellStyle name="Note 3 9 3 2" xfId="8189"/>
    <cellStyle name="Note 3 9 3 3" xfId="8190"/>
    <cellStyle name="Note 3 9 3 4" xfId="8191"/>
    <cellStyle name="Note 3 9 3 5" xfId="8192"/>
    <cellStyle name="Note 3 9 3 6" xfId="36183"/>
    <cellStyle name="Note 3 9 3 7" xfId="36184"/>
    <cellStyle name="Note 3 9 3 8" xfId="36185"/>
    <cellStyle name="Note 3 9 4" xfId="8193"/>
    <cellStyle name="Note 3 9 4 2" xfId="8194"/>
    <cellStyle name="Note 3 9 4 3" xfId="8195"/>
    <cellStyle name="Note 3 9 4 4" xfId="8196"/>
    <cellStyle name="Note 3 9 4 5" xfId="8197"/>
    <cellStyle name="Note 3 9 4 6" xfId="36186"/>
    <cellStyle name="Note 3 9 4 7" xfId="36187"/>
    <cellStyle name="Note 3 9 4 8" xfId="36188"/>
    <cellStyle name="Note 3 9 5" xfId="8198"/>
    <cellStyle name="Note 3 9 5 2" xfId="8199"/>
    <cellStyle name="Note 3 9 5 3" xfId="8200"/>
    <cellStyle name="Note 3 9 5 4" xfId="8201"/>
    <cellStyle name="Note 3 9 5 5" xfId="8202"/>
    <cellStyle name="Note 3 9 5 6" xfId="36189"/>
    <cellStyle name="Note 3 9 5 7" xfId="36190"/>
    <cellStyle name="Note 3 9 5 8" xfId="36191"/>
    <cellStyle name="Note 3 9 6" xfId="8203"/>
    <cellStyle name="Note 3 9 6 2" xfId="8204"/>
    <cellStyle name="Note 3 9 6 3" xfId="8205"/>
    <cellStyle name="Note 3 9 6 4" xfId="8206"/>
    <cellStyle name="Note 3 9 6 5" xfId="8207"/>
    <cellStyle name="Note 3 9 6 6" xfId="36192"/>
    <cellStyle name="Note 3 9 6 7" xfId="36193"/>
    <cellStyle name="Note 3 9 6 8" xfId="36194"/>
    <cellStyle name="Note 3 9 7" xfId="8208"/>
    <cellStyle name="Note 3 9 8" xfId="8209"/>
    <cellStyle name="Note 3 9 9" xfId="8210"/>
    <cellStyle name="Note 30" xfId="8211"/>
    <cellStyle name="Note 30 10" xfId="8212"/>
    <cellStyle name="Note 30 11" xfId="36195"/>
    <cellStyle name="Note 30 12" xfId="36196"/>
    <cellStyle name="Note 30 13" xfId="36197"/>
    <cellStyle name="Note 30 2" xfId="8213"/>
    <cellStyle name="Note 30 2 2" xfId="8214"/>
    <cellStyle name="Note 30 2 3" xfId="8215"/>
    <cellStyle name="Note 30 2 4" xfId="8216"/>
    <cellStyle name="Note 30 2 5" xfId="8217"/>
    <cellStyle name="Note 30 2 6" xfId="36198"/>
    <cellStyle name="Note 30 2 7" xfId="36199"/>
    <cellStyle name="Note 30 2 8" xfId="36200"/>
    <cellStyle name="Note 30 3" xfId="8218"/>
    <cellStyle name="Note 30 3 2" xfId="8219"/>
    <cellStyle name="Note 30 3 3" xfId="8220"/>
    <cellStyle name="Note 30 3 4" xfId="8221"/>
    <cellStyle name="Note 30 3 5" xfId="8222"/>
    <cellStyle name="Note 30 3 6" xfId="36201"/>
    <cellStyle name="Note 30 3 7" xfId="36202"/>
    <cellStyle name="Note 30 3 8" xfId="36203"/>
    <cellStyle name="Note 30 4" xfId="8223"/>
    <cellStyle name="Note 30 4 2" xfId="8224"/>
    <cellStyle name="Note 30 4 3" xfId="8225"/>
    <cellStyle name="Note 30 4 4" xfId="8226"/>
    <cellStyle name="Note 30 4 5" xfId="8227"/>
    <cellStyle name="Note 30 4 6" xfId="36204"/>
    <cellStyle name="Note 30 4 7" xfId="36205"/>
    <cellStyle name="Note 30 4 8" xfId="36206"/>
    <cellStyle name="Note 30 5" xfId="8228"/>
    <cellStyle name="Note 30 5 2" xfId="8229"/>
    <cellStyle name="Note 30 5 3" xfId="8230"/>
    <cellStyle name="Note 30 5 4" xfId="8231"/>
    <cellStyle name="Note 30 5 5" xfId="8232"/>
    <cellStyle name="Note 30 5 6" xfId="36207"/>
    <cellStyle name="Note 30 5 7" xfId="36208"/>
    <cellStyle name="Note 30 5 8" xfId="36209"/>
    <cellStyle name="Note 30 6" xfId="8233"/>
    <cellStyle name="Note 30 6 2" xfId="8234"/>
    <cellStyle name="Note 30 6 3" xfId="8235"/>
    <cellStyle name="Note 30 6 4" xfId="8236"/>
    <cellStyle name="Note 30 6 5" xfId="8237"/>
    <cellStyle name="Note 30 6 6" xfId="36210"/>
    <cellStyle name="Note 30 6 7" xfId="36211"/>
    <cellStyle name="Note 30 6 8" xfId="36212"/>
    <cellStyle name="Note 30 7" xfId="8238"/>
    <cellStyle name="Note 30 8" xfId="8239"/>
    <cellStyle name="Note 30 9" xfId="8240"/>
    <cellStyle name="Note 31" xfId="8241"/>
    <cellStyle name="Note 31 10" xfId="8242"/>
    <cellStyle name="Note 31 11" xfId="36213"/>
    <cellStyle name="Note 31 12" xfId="36214"/>
    <cellStyle name="Note 31 13" xfId="36215"/>
    <cellStyle name="Note 31 2" xfId="8243"/>
    <cellStyle name="Note 31 2 2" xfId="8244"/>
    <cellStyle name="Note 31 2 3" xfId="8245"/>
    <cellStyle name="Note 31 2 4" xfId="8246"/>
    <cellStyle name="Note 31 2 5" xfId="8247"/>
    <cellStyle name="Note 31 2 6" xfId="36216"/>
    <cellStyle name="Note 31 2 7" xfId="36217"/>
    <cellStyle name="Note 31 2 8" xfId="36218"/>
    <cellStyle name="Note 31 3" xfId="8248"/>
    <cellStyle name="Note 31 3 2" xfId="8249"/>
    <cellStyle name="Note 31 3 3" xfId="8250"/>
    <cellStyle name="Note 31 3 4" xfId="8251"/>
    <cellStyle name="Note 31 3 5" xfId="8252"/>
    <cellStyle name="Note 31 3 6" xfId="36219"/>
    <cellStyle name="Note 31 3 7" xfId="36220"/>
    <cellStyle name="Note 31 3 8" xfId="36221"/>
    <cellStyle name="Note 31 4" xfId="8253"/>
    <cellStyle name="Note 31 4 2" xfId="8254"/>
    <cellStyle name="Note 31 4 3" xfId="8255"/>
    <cellStyle name="Note 31 4 4" xfId="8256"/>
    <cellStyle name="Note 31 4 5" xfId="8257"/>
    <cellStyle name="Note 31 4 6" xfId="36222"/>
    <cellStyle name="Note 31 4 7" xfId="36223"/>
    <cellStyle name="Note 31 4 8" xfId="36224"/>
    <cellStyle name="Note 31 5" xfId="8258"/>
    <cellStyle name="Note 31 5 2" xfId="8259"/>
    <cellStyle name="Note 31 5 3" xfId="8260"/>
    <cellStyle name="Note 31 5 4" xfId="8261"/>
    <cellStyle name="Note 31 5 5" xfId="8262"/>
    <cellStyle name="Note 31 5 6" xfId="36225"/>
    <cellStyle name="Note 31 5 7" xfId="36226"/>
    <cellStyle name="Note 31 5 8" xfId="36227"/>
    <cellStyle name="Note 31 6" xfId="8263"/>
    <cellStyle name="Note 31 6 2" xfId="8264"/>
    <cellStyle name="Note 31 6 3" xfId="8265"/>
    <cellStyle name="Note 31 6 4" xfId="8266"/>
    <cellStyle name="Note 31 6 5" xfId="8267"/>
    <cellStyle name="Note 31 6 6" xfId="36228"/>
    <cellStyle name="Note 31 6 7" xfId="36229"/>
    <cellStyle name="Note 31 6 8" xfId="36230"/>
    <cellStyle name="Note 31 7" xfId="8268"/>
    <cellStyle name="Note 31 8" xfId="8269"/>
    <cellStyle name="Note 31 9" xfId="8270"/>
    <cellStyle name="Note 32" xfId="8271"/>
    <cellStyle name="Note 32 10" xfId="8272"/>
    <cellStyle name="Note 32 11" xfId="36231"/>
    <cellStyle name="Note 32 12" xfId="36232"/>
    <cellStyle name="Note 32 13" xfId="36233"/>
    <cellStyle name="Note 32 2" xfId="8273"/>
    <cellStyle name="Note 32 2 2" xfId="8274"/>
    <cellStyle name="Note 32 2 3" xfId="8275"/>
    <cellStyle name="Note 32 2 4" xfId="8276"/>
    <cellStyle name="Note 32 2 5" xfId="8277"/>
    <cellStyle name="Note 32 2 6" xfId="36234"/>
    <cellStyle name="Note 32 2 7" xfId="36235"/>
    <cellStyle name="Note 32 2 8" xfId="36236"/>
    <cellStyle name="Note 32 3" xfId="8278"/>
    <cellStyle name="Note 32 3 2" xfId="8279"/>
    <cellStyle name="Note 32 3 3" xfId="8280"/>
    <cellStyle name="Note 32 3 4" xfId="8281"/>
    <cellStyle name="Note 32 3 5" xfId="8282"/>
    <cellStyle name="Note 32 3 6" xfId="36237"/>
    <cellStyle name="Note 32 3 7" xfId="36238"/>
    <cellStyle name="Note 32 3 8" xfId="36239"/>
    <cellStyle name="Note 32 4" xfId="8283"/>
    <cellStyle name="Note 32 4 2" xfId="8284"/>
    <cellStyle name="Note 32 4 3" xfId="8285"/>
    <cellStyle name="Note 32 4 4" xfId="8286"/>
    <cellStyle name="Note 32 4 5" xfId="8287"/>
    <cellStyle name="Note 32 4 6" xfId="36240"/>
    <cellStyle name="Note 32 4 7" xfId="36241"/>
    <cellStyle name="Note 32 4 8" xfId="36242"/>
    <cellStyle name="Note 32 5" xfId="8288"/>
    <cellStyle name="Note 32 5 2" xfId="8289"/>
    <cellStyle name="Note 32 5 3" xfId="8290"/>
    <cellStyle name="Note 32 5 4" xfId="8291"/>
    <cellStyle name="Note 32 5 5" xfId="8292"/>
    <cellStyle name="Note 32 5 6" xfId="36243"/>
    <cellStyle name="Note 32 5 7" xfId="36244"/>
    <cellStyle name="Note 32 5 8" xfId="36245"/>
    <cellStyle name="Note 32 6" xfId="8293"/>
    <cellStyle name="Note 32 6 2" xfId="8294"/>
    <cellStyle name="Note 32 6 3" xfId="8295"/>
    <cellStyle name="Note 32 6 4" xfId="8296"/>
    <cellStyle name="Note 32 6 5" xfId="8297"/>
    <cellStyle name="Note 32 6 6" xfId="36246"/>
    <cellStyle name="Note 32 6 7" xfId="36247"/>
    <cellStyle name="Note 32 6 8" xfId="36248"/>
    <cellStyle name="Note 32 7" xfId="8298"/>
    <cellStyle name="Note 32 8" xfId="8299"/>
    <cellStyle name="Note 32 9" xfId="8300"/>
    <cellStyle name="Note 33" xfId="8301"/>
    <cellStyle name="Note 33 10" xfId="8302"/>
    <cellStyle name="Note 33 11" xfId="36249"/>
    <cellStyle name="Note 33 12" xfId="36250"/>
    <cellStyle name="Note 33 13" xfId="36251"/>
    <cellStyle name="Note 33 2" xfId="8303"/>
    <cellStyle name="Note 33 2 2" xfId="8304"/>
    <cellStyle name="Note 33 2 3" xfId="8305"/>
    <cellStyle name="Note 33 2 4" xfId="8306"/>
    <cellStyle name="Note 33 2 5" xfId="8307"/>
    <cellStyle name="Note 33 2 6" xfId="36252"/>
    <cellStyle name="Note 33 2 7" xfId="36253"/>
    <cellStyle name="Note 33 2 8" xfId="36254"/>
    <cellStyle name="Note 33 3" xfId="8308"/>
    <cellStyle name="Note 33 3 2" xfId="8309"/>
    <cellStyle name="Note 33 3 3" xfId="8310"/>
    <cellStyle name="Note 33 3 4" xfId="8311"/>
    <cellStyle name="Note 33 3 5" xfId="8312"/>
    <cellStyle name="Note 33 3 6" xfId="36255"/>
    <cellStyle name="Note 33 3 7" xfId="36256"/>
    <cellStyle name="Note 33 3 8" xfId="36257"/>
    <cellStyle name="Note 33 4" xfId="8313"/>
    <cellStyle name="Note 33 4 2" xfId="8314"/>
    <cellStyle name="Note 33 4 3" xfId="8315"/>
    <cellStyle name="Note 33 4 4" xfId="8316"/>
    <cellStyle name="Note 33 4 5" xfId="8317"/>
    <cellStyle name="Note 33 4 6" xfId="36258"/>
    <cellStyle name="Note 33 4 7" xfId="36259"/>
    <cellStyle name="Note 33 4 8" xfId="36260"/>
    <cellStyle name="Note 33 5" xfId="8318"/>
    <cellStyle name="Note 33 5 2" xfId="8319"/>
    <cellStyle name="Note 33 5 3" xfId="8320"/>
    <cellStyle name="Note 33 5 4" xfId="8321"/>
    <cellStyle name="Note 33 5 5" xfId="8322"/>
    <cellStyle name="Note 33 5 6" xfId="36261"/>
    <cellStyle name="Note 33 5 7" xfId="36262"/>
    <cellStyle name="Note 33 5 8" xfId="36263"/>
    <cellStyle name="Note 33 6" xfId="8323"/>
    <cellStyle name="Note 33 6 2" xfId="8324"/>
    <cellStyle name="Note 33 6 3" xfId="8325"/>
    <cellStyle name="Note 33 6 4" xfId="8326"/>
    <cellStyle name="Note 33 6 5" xfId="8327"/>
    <cellStyle name="Note 33 6 6" xfId="36264"/>
    <cellStyle name="Note 33 6 7" xfId="36265"/>
    <cellStyle name="Note 33 6 8" xfId="36266"/>
    <cellStyle name="Note 33 7" xfId="8328"/>
    <cellStyle name="Note 33 8" xfId="8329"/>
    <cellStyle name="Note 33 9" xfId="8330"/>
    <cellStyle name="Note 34" xfId="8331"/>
    <cellStyle name="Note 34 10" xfId="8332"/>
    <cellStyle name="Note 34 11" xfId="36267"/>
    <cellStyle name="Note 34 12" xfId="36268"/>
    <cellStyle name="Note 34 13" xfId="36269"/>
    <cellStyle name="Note 34 2" xfId="8333"/>
    <cellStyle name="Note 34 2 2" xfId="8334"/>
    <cellStyle name="Note 34 2 3" xfId="8335"/>
    <cellStyle name="Note 34 2 4" xfId="8336"/>
    <cellStyle name="Note 34 2 5" xfId="8337"/>
    <cellStyle name="Note 34 2 6" xfId="36270"/>
    <cellStyle name="Note 34 2 7" xfId="36271"/>
    <cellStyle name="Note 34 2 8" xfId="36272"/>
    <cellStyle name="Note 34 3" xfId="8338"/>
    <cellStyle name="Note 34 3 2" xfId="8339"/>
    <cellStyle name="Note 34 3 3" xfId="8340"/>
    <cellStyle name="Note 34 3 4" xfId="8341"/>
    <cellStyle name="Note 34 3 5" xfId="8342"/>
    <cellStyle name="Note 34 3 6" xfId="36273"/>
    <cellStyle name="Note 34 3 7" xfId="36274"/>
    <cellStyle name="Note 34 3 8" xfId="36275"/>
    <cellStyle name="Note 34 4" xfId="8343"/>
    <cellStyle name="Note 34 4 2" xfId="8344"/>
    <cellStyle name="Note 34 4 3" xfId="8345"/>
    <cellStyle name="Note 34 4 4" xfId="8346"/>
    <cellStyle name="Note 34 4 5" xfId="8347"/>
    <cellStyle name="Note 34 4 6" xfId="36276"/>
    <cellStyle name="Note 34 4 7" xfId="36277"/>
    <cellStyle name="Note 34 4 8" xfId="36278"/>
    <cellStyle name="Note 34 5" xfId="8348"/>
    <cellStyle name="Note 34 5 2" xfId="8349"/>
    <cellStyle name="Note 34 5 3" xfId="8350"/>
    <cellStyle name="Note 34 5 4" xfId="8351"/>
    <cellStyle name="Note 34 5 5" xfId="8352"/>
    <cellStyle name="Note 34 5 6" xfId="36279"/>
    <cellStyle name="Note 34 5 7" xfId="36280"/>
    <cellStyle name="Note 34 5 8" xfId="36281"/>
    <cellStyle name="Note 34 6" xfId="8353"/>
    <cellStyle name="Note 34 6 2" xfId="8354"/>
    <cellStyle name="Note 34 6 3" xfId="8355"/>
    <cellStyle name="Note 34 6 4" xfId="8356"/>
    <cellStyle name="Note 34 6 5" xfId="8357"/>
    <cellStyle name="Note 34 6 6" xfId="36282"/>
    <cellStyle name="Note 34 6 7" xfId="36283"/>
    <cellStyle name="Note 34 6 8" xfId="36284"/>
    <cellStyle name="Note 34 7" xfId="8358"/>
    <cellStyle name="Note 34 8" xfId="8359"/>
    <cellStyle name="Note 34 9" xfId="8360"/>
    <cellStyle name="Note 35" xfId="8361"/>
    <cellStyle name="Note 35 10" xfId="8362"/>
    <cellStyle name="Note 35 11" xfId="36285"/>
    <cellStyle name="Note 35 12" xfId="36286"/>
    <cellStyle name="Note 35 13" xfId="36287"/>
    <cellStyle name="Note 35 2" xfId="8363"/>
    <cellStyle name="Note 35 2 2" xfId="8364"/>
    <cellStyle name="Note 35 2 3" xfId="8365"/>
    <cellStyle name="Note 35 2 4" xfId="8366"/>
    <cellStyle name="Note 35 2 5" xfId="8367"/>
    <cellStyle name="Note 35 2 6" xfId="36288"/>
    <cellStyle name="Note 35 2 7" xfId="36289"/>
    <cellStyle name="Note 35 2 8" xfId="36290"/>
    <cellStyle name="Note 35 3" xfId="8368"/>
    <cellStyle name="Note 35 3 2" xfId="8369"/>
    <cellStyle name="Note 35 3 3" xfId="8370"/>
    <cellStyle name="Note 35 3 4" xfId="8371"/>
    <cellStyle name="Note 35 3 5" xfId="8372"/>
    <cellStyle name="Note 35 3 6" xfId="36291"/>
    <cellStyle name="Note 35 3 7" xfId="36292"/>
    <cellStyle name="Note 35 3 8" xfId="36293"/>
    <cellStyle name="Note 35 4" xfId="8373"/>
    <cellStyle name="Note 35 4 2" xfId="8374"/>
    <cellStyle name="Note 35 4 3" xfId="8375"/>
    <cellStyle name="Note 35 4 4" xfId="8376"/>
    <cellStyle name="Note 35 4 5" xfId="8377"/>
    <cellStyle name="Note 35 4 6" xfId="36294"/>
    <cellStyle name="Note 35 4 7" xfId="36295"/>
    <cellStyle name="Note 35 4 8" xfId="36296"/>
    <cellStyle name="Note 35 5" xfId="8378"/>
    <cellStyle name="Note 35 5 2" xfId="8379"/>
    <cellStyle name="Note 35 5 3" xfId="8380"/>
    <cellStyle name="Note 35 5 4" xfId="8381"/>
    <cellStyle name="Note 35 5 5" xfId="8382"/>
    <cellStyle name="Note 35 5 6" xfId="36297"/>
    <cellStyle name="Note 35 5 7" xfId="36298"/>
    <cellStyle name="Note 35 5 8" xfId="36299"/>
    <cellStyle name="Note 35 6" xfId="8383"/>
    <cellStyle name="Note 35 6 2" xfId="8384"/>
    <cellStyle name="Note 35 6 3" xfId="8385"/>
    <cellStyle name="Note 35 6 4" xfId="8386"/>
    <cellStyle name="Note 35 6 5" xfId="8387"/>
    <cellStyle name="Note 35 6 6" xfId="36300"/>
    <cellStyle name="Note 35 6 7" xfId="36301"/>
    <cellStyle name="Note 35 6 8" xfId="36302"/>
    <cellStyle name="Note 35 7" xfId="8388"/>
    <cellStyle name="Note 35 8" xfId="8389"/>
    <cellStyle name="Note 35 9" xfId="8390"/>
    <cellStyle name="Note 36" xfId="8391"/>
    <cellStyle name="Note 36 10" xfId="8392"/>
    <cellStyle name="Note 36 11" xfId="36303"/>
    <cellStyle name="Note 36 12" xfId="36304"/>
    <cellStyle name="Note 36 13" xfId="36305"/>
    <cellStyle name="Note 36 2" xfId="8393"/>
    <cellStyle name="Note 36 2 2" xfId="8394"/>
    <cellStyle name="Note 36 2 3" xfId="8395"/>
    <cellStyle name="Note 36 2 4" xfId="8396"/>
    <cellStyle name="Note 36 2 5" xfId="8397"/>
    <cellStyle name="Note 36 2 6" xfId="36306"/>
    <cellStyle name="Note 36 2 7" xfId="36307"/>
    <cellStyle name="Note 36 2 8" xfId="36308"/>
    <cellStyle name="Note 36 3" xfId="8398"/>
    <cellStyle name="Note 36 3 2" xfId="8399"/>
    <cellStyle name="Note 36 3 3" xfId="8400"/>
    <cellStyle name="Note 36 3 4" xfId="8401"/>
    <cellStyle name="Note 36 3 5" xfId="8402"/>
    <cellStyle name="Note 36 3 6" xfId="36309"/>
    <cellStyle name="Note 36 3 7" xfId="36310"/>
    <cellStyle name="Note 36 3 8" xfId="36311"/>
    <cellStyle name="Note 36 4" xfId="8403"/>
    <cellStyle name="Note 36 4 2" xfId="8404"/>
    <cellStyle name="Note 36 4 3" xfId="8405"/>
    <cellStyle name="Note 36 4 4" xfId="8406"/>
    <cellStyle name="Note 36 4 5" xfId="8407"/>
    <cellStyle name="Note 36 4 6" xfId="36312"/>
    <cellStyle name="Note 36 4 7" xfId="36313"/>
    <cellStyle name="Note 36 4 8" xfId="36314"/>
    <cellStyle name="Note 36 5" xfId="8408"/>
    <cellStyle name="Note 36 5 2" xfId="8409"/>
    <cellStyle name="Note 36 5 3" xfId="8410"/>
    <cellStyle name="Note 36 5 4" xfId="8411"/>
    <cellStyle name="Note 36 5 5" xfId="8412"/>
    <cellStyle name="Note 36 5 6" xfId="36315"/>
    <cellStyle name="Note 36 5 7" xfId="36316"/>
    <cellStyle name="Note 36 5 8" xfId="36317"/>
    <cellStyle name="Note 36 6" xfId="8413"/>
    <cellStyle name="Note 36 6 2" xfId="8414"/>
    <cellStyle name="Note 36 6 3" xfId="8415"/>
    <cellStyle name="Note 36 6 4" xfId="8416"/>
    <cellStyle name="Note 36 6 5" xfId="8417"/>
    <cellStyle name="Note 36 6 6" xfId="36318"/>
    <cellStyle name="Note 36 6 7" xfId="36319"/>
    <cellStyle name="Note 36 6 8" xfId="36320"/>
    <cellStyle name="Note 36 7" xfId="8418"/>
    <cellStyle name="Note 36 8" xfId="8419"/>
    <cellStyle name="Note 36 9" xfId="8420"/>
    <cellStyle name="Note 37" xfId="8421"/>
    <cellStyle name="Note 37 10" xfId="8422"/>
    <cellStyle name="Note 37 10 2" xfId="8423"/>
    <cellStyle name="Note 37 10 3" xfId="8424"/>
    <cellStyle name="Note 37 10 4" xfId="8425"/>
    <cellStyle name="Note 37 10 5" xfId="8426"/>
    <cellStyle name="Note 37 10 6" xfId="36321"/>
    <cellStyle name="Note 37 10 7" xfId="36322"/>
    <cellStyle name="Note 37 10 8" xfId="36323"/>
    <cellStyle name="Note 37 11" xfId="8427"/>
    <cellStyle name="Note 37 11 2" xfId="8428"/>
    <cellStyle name="Note 37 11 3" xfId="8429"/>
    <cellStyle name="Note 37 11 4" xfId="8430"/>
    <cellStyle name="Note 37 11 5" xfId="8431"/>
    <cellStyle name="Note 37 11 6" xfId="36324"/>
    <cellStyle name="Note 37 11 7" xfId="36325"/>
    <cellStyle name="Note 37 11 8" xfId="36326"/>
    <cellStyle name="Note 37 12" xfId="8432"/>
    <cellStyle name="Note 37 12 2" xfId="8433"/>
    <cellStyle name="Note 37 12 3" xfId="8434"/>
    <cellStyle name="Note 37 12 4" xfId="8435"/>
    <cellStyle name="Note 37 12 5" xfId="8436"/>
    <cellStyle name="Note 37 12 6" xfId="36327"/>
    <cellStyle name="Note 37 12 7" xfId="36328"/>
    <cellStyle name="Note 37 12 8" xfId="36329"/>
    <cellStyle name="Note 37 13" xfId="8437"/>
    <cellStyle name="Note 37 14" xfId="8438"/>
    <cellStyle name="Note 37 15" xfId="8439"/>
    <cellStyle name="Note 37 16" xfId="8440"/>
    <cellStyle name="Note 37 17" xfId="36330"/>
    <cellStyle name="Note 37 18" xfId="36331"/>
    <cellStyle name="Note 37 19" xfId="36332"/>
    <cellStyle name="Note 37 2" xfId="8441"/>
    <cellStyle name="Note 37 2 10" xfId="8442"/>
    <cellStyle name="Note 37 2 11" xfId="36333"/>
    <cellStyle name="Note 37 2 12" xfId="36334"/>
    <cellStyle name="Note 37 2 13" xfId="36335"/>
    <cellStyle name="Note 37 2 2" xfId="8443"/>
    <cellStyle name="Note 37 2 2 2" xfId="8444"/>
    <cellStyle name="Note 37 2 2 3" xfId="8445"/>
    <cellStyle name="Note 37 2 2 4" xfId="8446"/>
    <cellStyle name="Note 37 2 2 5" xfId="8447"/>
    <cellStyle name="Note 37 2 2 6" xfId="36336"/>
    <cellStyle name="Note 37 2 2 7" xfId="36337"/>
    <cellStyle name="Note 37 2 2 8" xfId="36338"/>
    <cellStyle name="Note 37 2 3" xfId="8448"/>
    <cellStyle name="Note 37 2 3 2" xfId="8449"/>
    <cellStyle name="Note 37 2 3 3" xfId="8450"/>
    <cellStyle name="Note 37 2 3 4" xfId="8451"/>
    <cellStyle name="Note 37 2 3 5" xfId="8452"/>
    <cellStyle name="Note 37 2 3 6" xfId="36339"/>
    <cellStyle name="Note 37 2 3 7" xfId="36340"/>
    <cellStyle name="Note 37 2 3 8" xfId="36341"/>
    <cellStyle name="Note 37 2 4" xfId="8453"/>
    <cellStyle name="Note 37 2 4 2" xfId="8454"/>
    <cellStyle name="Note 37 2 4 3" xfId="8455"/>
    <cellStyle name="Note 37 2 4 4" xfId="8456"/>
    <cellStyle name="Note 37 2 4 5" xfId="8457"/>
    <cellStyle name="Note 37 2 4 6" xfId="36342"/>
    <cellStyle name="Note 37 2 4 7" xfId="36343"/>
    <cellStyle name="Note 37 2 4 8" xfId="36344"/>
    <cellStyle name="Note 37 2 5" xfId="8458"/>
    <cellStyle name="Note 37 2 5 2" xfId="8459"/>
    <cellStyle name="Note 37 2 5 3" xfId="8460"/>
    <cellStyle name="Note 37 2 5 4" xfId="8461"/>
    <cellStyle name="Note 37 2 5 5" xfId="8462"/>
    <cellStyle name="Note 37 2 5 6" xfId="36345"/>
    <cellStyle name="Note 37 2 5 7" xfId="36346"/>
    <cellStyle name="Note 37 2 5 8" xfId="36347"/>
    <cellStyle name="Note 37 2 6" xfId="8463"/>
    <cellStyle name="Note 37 2 6 2" xfId="8464"/>
    <cellStyle name="Note 37 2 6 3" xfId="8465"/>
    <cellStyle name="Note 37 2 6 4" xfId="8466"/>
    <cellStyle name="Note 37 2 6 5" xfId="8467"/>
    <cellStyle name="Note 37 2 6 6" xfId="36348"/>
    <cellStyle name="Note 37 2 6 7" xfId="36349"/>
    <cellStyle name="Note 37 2 6 8" xfId="36350"/>
    <cellStyle name="Note 37 2 7" xfId="8468"/>
    <cellStyle name="Note 37 2 8" xfId="8469"/>
    <cellStyle name="Note 37 2 9" xfId="8470"/>
    <cellStyle name="Note 37 3" xfId="8471"/>
    <cellStyle name="Note 37 3 10" xfId="8472"/>
    <cellStyle name="Note 37 3 11" xfId="36351"/>
    <cellStyle name="Note 37 3 12" xfId="36352"/>
    <cellStyle name="Note 37 3 13" xfId="36353"/>
    <cellStyle name="Note 37 3 2" xfId="8473"/>
    <cellStyle name="Note 37 3 2 2" xfId="8474"/>
    <cellStyle name="Note 37 3 2 3" xfId="8475"/>
    <cellStyle name="Note 37 3 2 4" xfId="8476"/>
    <cellStyle name="Note 37 3 2 5" xfId="8477"/>
    <cellStyle name="Note 37 3 2 6" xfId="36354"/>
    <cellStyle name="Note 37 3 2 7" xfId="36355"/>
    <cellStyle name="Note 37 3 2 8" xfId="36356"/>
    <cellStyle name="Note 37 3 3" xfId="8478"/>
    <cellStyle name="Note 37 3 3 2" xfId="8479"/>
    <cellStyle name="Note 37 3 3 3" xfId="8480"/>
    <cellStyle name="Note 37 3 3 4" xfId="8481"/>
    <cellStyle name="Note 37 3 3 5" xfId="8482"/>
    <cellStyle name="Note 37 3 3 6" xfId="36357"/>
    <cellStyle name="Note 37 3 3 7" xfId="36358"/>
    <cellStyle name="Note 37 3 3 8" xfId="36359"/>
    <cellStyle name="Note 37 3 4" xfId="8483"/>
    <cellStyle name="Note 37 3 4 2" xfId="8484"/>
    <cellStyle name="Note 37 3 4 3" xfId="8485"/>
    <cellStyle name="Note 37 3 4 4" xfId="8486"/>
    <cellStyle name="Note 37 3 4 5" xfId="8487"/>
    <cellStyle name="Note 37 3 4 6" xfId="36360"/>
    <cellStyle name="Note 37 3 4 7" xfId="36361"/>
    <cellStyle name="Note 37 3 4 8" xfId="36362"/>
    <cellStyle name="Note 37 3 5" xfId="8488"/>
    <cellStyle name="Note 37 3 5 2" xfId="8489"/>
    <cellStyle name="Note 37 3 5 3" xfId="8490"/>
    <cellStyle name="Note 37 3 5 4" xfId="8491"/>
    <cellStyle name="Note 37 3 5 5" xfId="8492"/>
    <cellStyle name="Note 37 3 5 6" xfId="36363"/>
    <cellStyle name="Note 37 3 5 7" xfId="36364"/>
    <cellStyle name="Note 37 3 5 8" xfId="36365"/>
    <cellStyle name="Note 37 3 6" xfId="8493"/>
    <cellStyle name="Note 37 3 6 2" xfId="8494"/>
    <cellStyle name="Note 37 3 6 3" xfId="8495"/>
    <cellStyle name="Note 37 3 6 4" xfId="8496"/>
    <cellStyle name="Note 37 3 6 5" xfId="8497"/>
    <cellStyle name="Note 37 3 6 6" xfId="36366"/>
    <cellStyle name="Note 37 3 6 7" xfId="36367"/>
    <cellStyle name="Note 37 3 6 8" xfId="36368"/>
    <cellStyle name="Note 37 3 7" xfId="8498"/>
    <cellStyle name="Note 37 3 8" xfId="8499"/>
    <cellStyle name="Note 37 3 9" xfId="8500"/>
    <cellStyle name="Note 37 4" xfId="8501"/>
    <cellStyle name="Note 37 4 10" xfId="8502"/>
    <cellStyle name="Note 37 4 11" xfId="36369"/>
    <cellStyle name="Note 37 4 12" xfId="36370"/>
    <cellStyle name="Note 37 4 13" xfId="36371"/>
    <cellStyle name="Note 37 4 2" xfId="8503"/>
    <cellStyle name="Note 37 4 2 2" xfId="8504"/>
    <cellStyle name="Note 37 4 2 3" xfId="8505"/>
    <cellStyle name="Note 37 4 2 4" xfId="8506"/>
    <cellStyle name="Note 37 4 2 5" xfId="8507"/>
    <cellStyle name="Note 37 4 2 6" xfId="36372"/>
    <cellStyle name="Note 37 4 2 7" xfId="36373"/>
    <cellStyle name="Note 37 4 2 8" xfId="36374"/>
    <cellStyle name="Note 37 4 3" xfId="8508"/>
    <cellStyle name="Note 37 4 3 2" xfId="8509"/>
    <cellStyle name="Note 37 4 3 3" xfId="8510"/>
    <cellStyle name="Note 37 4 3 4" xfId="8511"/>
    <cellStyle name="Note 37 4 3 5" xfId="8512"/>
    <cellStyle name="Note 37 4 3 6" xfId="36375"/>
    <cellStyle name="Note 37 4 3 7" xfId="36376"/>
    <cellStyle name="Note 37 4 3 8" xfId="36377"/>
    <cellStyle name="Note 37 4 4" xfId="8513"/>
    <cellStyle name="Note 37 4 4 2" xfId="8514"/>
    <cellStyle name="Note 37 4 4 3" xfId="8515"/>
    <cellStyle name="Note 37 4 4 4" xfId="8516"/>
    <cellStyle name="Note 37 4 4 5" xfId="8517"/>
    <cellStyle name="Note 37 4 4 6" xfId="36378"/>
    <cellStyle name="Note 37 4 4 7" xfId="36379"/>
    <cellStyle name="Note 37 4 4 8" xfId="36380"/>
    <cellStyle name="Note 37 4 5" xfId="8518"/>
    <cellStyle name="Note 37 4 5 2" xfId="8519"/>
    <cellStyle name="Note 37 4 5 3" xfId="8520"/>
    <cellStyle name="Note 37 4 5 4" xfId="8521"/>
    <cellStyle name="Note 37 4 5 5" xfId="8522"/>
    <cellStyle name="Note 37 4 5 6" xfId="36381"/>
    <cellStyle name="Note 37 4 5 7" xfId="36382"/>
    <cellStyle name="Note 37 4 5 8" xfId="36383"/>
    <cellStyle name="Note 37 4 6" xfId="8523"/>
    <cellStyle name="Note 37 4 6 2" xfId="8524"/>
    <cellStyle name="Note 37 4 6 3" xfId="8525"/>
    <cellStyle name="Note 37 4 6 4" xfId="8526"/>
    <cellStyle name="Note 37 4 6 5" xfId="8527"/>
    <cellStyle name="Note 37 4 6 6" xfId="36384"/>
    <cellStyle name="Note 37 4 6 7" xfId="36385"/>
    <cellStyle name="Note 37 4 6 8" xfId="36386"/>
    <cellStyle name="Note 37 4 7" xfId="8528"/>
    <cellStyle name="Note 37 4 8" xfId="8529"/>
    <cellStyle name="Note 37 4 9" xfId="8530"/>
    <cellStyle name="Note 37 5" xfId="8531"/>
    <cellStyle name="Note 37 5 10" xfId="8532"/>
    <cellStyle name="Note 37 5 11" xfId="36387"/>
    <cellStyle name="Note 37 5 12" xfId="36388"/>
    <cellStyle name="Note 37 5 13" xfId="36389"/>
    <cellStyle name="Note 37 5 2" xfId="8533"/>
    <cellStyle name="Note 37 5 2 2" xfId="8534"/>
    <cellStyle name="Note 37 5 2 3" xfId="8535"/>
    <cellStyle name="Note 37 5 2 4" xfId="8536"/>
    <cellStyle name="Note 37 5 2 5" xfId="8537"/>
    <cellStyle name="Note 37 5 2 6" xfId="36390"/>
    <cellStyle name="Note 37 5 2 7" xfId="36391"/>
    <cellStyle name="Note 37 5 2 8" xfId="36392"/>
    <cellStyle name="Note 37 5 3" xfId="8538"/>
    <cellStyle name="Note 37 5 3 2" xfId="8539"/>
    <cellStyle name="Note 37 5 3 3" xfId="8540"/>
    <cellStyle name="Note 37 5 3 4" xfId="8541"/>
    <cellStyle name="Note 37 5 3 5" xfId="8542"/>
    <cellStyle name="Note 37 5 3 6" xfId="36393"/>
    <cellStyle name="Note 37 5 3 7" xfId="36394"/>
    <cellStyle name="Note 37 5 3 8" xfId="36395"/>
    <cellStyle name="Note 37 5 4" xfId="8543"/>
    <cellStyle name="Note 37 5 4 2" xfId="8544"/>
    <cellStyle name="Note 37 5 4 3" xfId="8545"/>
    <cellStyle name="Note 37 5 4 4" xfId="8546"/>
    <cellStyle name="Note 37 5 4 5" xfId="8547"/>
    <cellStyle name="Note 37 5 4 6" xfId="36396"/>
    <cellStyle name="Note 37 5 4 7" xfId="36397"/>
    <cellStyle name="Note 37 5 4 8" xfId="36398"/>
    <cellStyle name="Note 37 5 5" xfId="8548"/>
    <cellStyle name="Note 37 5 5 2" xfId="8549"/>
    <cellStyle name="Note 37 5 5 3" xfId="8550"/>
    <cellStyle name="Note 37 5 5 4" xfId="8551"/>
    <cellStyle name="Note 37 5 5 5" xfId="8552"/>
    <cellStyle name="Note 37 5 5 6" xfId="36399"/>
    <cellStyle name="Note 37 5 5 7" xfId="36400"/>
    <cellStyle name="Note 37 5 5 8" xfId="36401"/>
    <cellStyle name="Note 37 5 6" xfId="8553"/>
    <cellStyle name="Note 37 5 6 2" xfId="8554"/>
    <cellStyle name="Note 37 5 6 3" xfId="8555"/>
    <cellStyle name="Note 37 5 6 4" xfId="8556"/>
    <cellStyle name="Note 37 5 6 5" xfId="8557"/>
    <cellStyle name="Note 37 5 6 6" xfId="36402"/>
    <cellStyle name="Note 37 5 6 7" xfId="36403"/>
    <cellStyle name="Note 37 5 6 8" xfId="36404"/>
    <cellStyle name="Note 37 5 7" xfId="8558"/>
    <cellStyle name="Note 37 5 8" xfId="8559"/>
    <cellStyle name="Note 37 5 9" xfId="8560"/>
    <cellStyle name="Note 37 6" xfId="8561"/>
    <cellStyle name="Note 37 6 10" xfId="8562"/>
    <cellStyle name="Note 37 6 11" xfId="36405"/>
    <cellStyle name="Note 37 6 12" xfId="36406"/>
    <cellStyle name="Note 37 6 13" xfId="36407"/>
    <cellStyle name="Note 37 6 2" xfId="8563"/>
    <cellStyle name="Note 37 6 2 2" xfId="8564"/>
    <cellStyle name="Note 37 6 2 3" xfId="8565"/>
    <cellStyle name="Note 37 6 2 4" xfId="8566"/>
    <cellStyle name="Note 37 6 2 5" xfId="8567"/>
    <cellStyle name="Note 37 6 2 6" xfId="36408"/>
    <cellStyle name="Note 37 6 2 7" xfId="36409"/>
    <cellStyle name="Note 37 6 2 8" xfId="36410"/>
    <cellStyle name="Note 37 6 3" xfId="8568"/>
    <cellStyle name="Note 37 6 3 2" xfId="8569"/>
    <cellStyle name="Note 37 6 3 3" xfId="8570"/>
    <cellStyle name="Note 37 6 3 4" xfId="8571"/>
    <cellStyle name="Note 37 6 3 5" xfId="8572"/>
    <cellStyle name="Note 37 6 3 6" xfId="36411"/>
    <cellStyle name="Note 37 6 3 7" xfId="36412"/>
    <cellStyle name="Note 37 6 3 8" xfId="36413"/>
    <cellStyle name="Note 37 6 4" xfId="8573"/>
    <cellStyle name="Note 37 6 4 2" xfId="8574"/>
    <cellStyle name="Note 37 6 4 3" xfId="8575"/>
    <cellStyle name="Note 37 6 4 4" xfId="8576"/>
    <cellStyle name="Note 37 6 4 5" xfId="8577"/>
    <cellStyle name="Note 37 6 4 6" xfId="36414"/>
    <cellStyle name="Note 37 6 4 7" xfId="36415"/>
    <cellStyle name="Note 37 6 4 8" xfId="36416"/>
    <cellStyle name="Note 37 6 5" xfId="8578"/>
    <cellStyle name="Note 37 6 5 2" xfId="8579"/>
    <cellStyle name="Note 37 6 5 3" xfId="8580"/>
    <cellStyle name="Note 37 6 5 4" xfId="8581"/>
    <cellStyle name="Note 37 6 5 5" xfId="8582"/>
    <cellStyle name="Note 37 6 5 6" xfId="36417"/>
    <cellStyle name="Note 37 6 5 7" xfId="36418"/>
    <cellStyle name="Note 37 6 5 8" xfId="36419"/>
    <cellStyle name="Note 37 6 6" xfId="8583"/>
    <cellStyle name="Note 37 6 6 2" xfId="8584"/>
    <cellStyle name="Note 37 6 6 3" xfId="8585"/>
    <cellStyle name="Note 37 6 6 4" xfId="8586"/>
    <cellStyle name="Note 37 6 6 5" xfId="8587"/>
    <cellStyle name="Note 37 6 6 6" xfId="36420"/>
    <cellStyle name="Note 37 6 6 7" xfId="36421"/>
    <cellStyle name="Note 37 6 6 8" xfId="36422"/>
    <cellStyle name="Note 37 6 7" xfId="8588"/>
    <cellStyle name="Note 37 6 8" xfId="8589"/>
    <cellStyle name="Note 37 6 9" xfId="8590"/>
    <cellStyle name="Note 37 7" xfId="8591"/>
    <cellStyle name="Note 37 7 10" xfId="8592"/>
    <cellStyle name="Note 37 7 11" xfId="36423"/>
    <cellStyle name="Note 37 7 12" xfId="36424"/>
    <cellStyle name="Note 37 7 13" xfId="36425"/>
    <cellStyle name="Note 37 7 2" xfId="8593"/>
    <cellStyle name="Note 37 7 2 2" xfId="8594"/>
    <cellStyle name="Note 37 7 2 3" xfId="8595"/>
    <cellStyle name="Note 37 7 2 4" xfId="8596"/>
    <cellStyle name="Note 37 7 2 5" xfId="8597"/>
    <cellStyle name="Note 37 7 2 6" xfId="36426"/>
    <cellStyle name="Note 37 7 2 7" xfId="36427"/>
    <cellStyle name="Note 37 7 2 8" xfId="36428"/>
    <cellStyle name="Note 37 7 3" xfId="8598"/>
    <cellStyle name="Note 37 7 3 2" xfId="8599"/>
    <cellStyle name="Note 37 7 3 3" xfId="8600"/>
    <cellStyle name="Note 37 7 3 4" xfId="8601"/>
    <cellStyle name="Note 37 7 3 5" xfId="8602"/>
    <cellStyle name="Note 37 7 3 6" xfId="36429"/>
    <cellStyle name="Note 37 7 3 7" xfId="36430"/>
    <cellStyle name="Note 37 7 3 8" xfId="36431"/>
    <cellStyle name="Note 37 7 4" xfId="8603"/>
    <cellStyle name="Note 37 7 4 2" xfId="8604"/>
    <cellStyle name="Note 37 7 4 3" xfId="8605"/>
    <cellStyle name="Note 37 7 4 4" xfId="8606"/>
    <cellStyle name="Note 37 7 4 5" xfId="8607"/>
    <cellStyle name="Note 37 7 4 6" xfId="36432"/>
    <cellStyle name="Note 37 7 4 7" xfId="36433"/>
    <cellStyle name="Note 37 7 4 8" xfId="36434"/>
    <cellStyle name="Note 37 7 5" xfId="8608"/>
    <cellStyle name="Note 37 7 5 2" xfId="8609"/>
    <cellStyle name="Note 37 7 5 3" xfId="8610"/>
    <cellStyle name="Note 37 7 5 4" xfId="8611"/>
    <cellStyle name="Note 37 7 5 5" xfId="8612"/>
    <cellStyle name="Note 37 7 5 6" xfId="36435"/>
    <cellStyle name="Note 37 7 5 7" xfId="36436"/>
    <cellStyle name="Note 37 7 5 8" xfId="36437"/>
    <cellStyle name="Note 37 7 6" xfId="8613"/>
    <cellStyle name="Note 37 7 6 2" xfId="8614"/>
    <cellStyle name="Note 37 7 6 3" xfId="8615"/>
    <cellStyle name="Note 37 7 6 4" xfId="8616"/>
    <cellStyle name="Note 37 7 6 5" xfId="8617"/>
    <cellStyle name="Note 37 7 6 6" xfId="36438"/>
    <cellStyle name="Note 37 7 6 7" xfId="36439"/>
    <cellStyle name="Note 37 7 6 8" xfId="36440"/>
    <cellStyle name="Note 37 7 7" xfId="8618"/>
    <cellStyle name="Note 37 7 8" xfId="8619"/>
    <cellStyle name="Note 37 7 9" xfId="8620"/>
    <cellStyle name="Note 37 8" xfId="8621"/>
    <cellStyle name="Note 37 8 2" xfId="8622"/>
    <cellStyle name="Note 37 8 3" xfId="8623"/>
    <cellStyle name="Note 37 8 4" xfId="8624"/>
    <cellStyle name="Note 37 8 5" xfId="8625"/>
    <cellStyle name="Note 37 8 6" xfId="36441"/>
    <cellStyle name="Note 37 8 7" xfId="36442"/>
    <cellStyle name="Note 37 8 8" xfId="36443"/>
    <cellStyle name="Note 37 9" xfId="8626"/>
    <cellStyle name="Note 37 9 2" xfId="8627"/>
    <cellStyle name="Note 37 9 3" xfId="8628"/>
    <cellStyle name="Note 37 9 4" xfId="8629"/>
    <cellStyle name="Note 37 9 5" xfId="8630"/>
    <cellStyle name="Note 37 9 6" xfId="36444"/>
    <cellStyle name="Note 37 9 7" xfId="36445"/>
    <cellStyle name="Note 37 9 8" xfId="36446"/>
    <cellStyle name="Note 38" xfId="8631"/>
    <cellStyle name="Note 38 10" xfId="8632"/>
    <cellStyle name="Note 38 10 2" xfId="8633"/>
    <cellStyle name="Note 38 10 3" xfId="8634"/>
    <cellStyle name="Note 38 10 4" xfId="8635"/>
    <cellStyle name="Note 38 10 5" xfId="8636"/>
    <cellStyle name="Note 38 10 6" xfId="36447"/>
    <cellStyle name="Note 38 10 7" xfId="36448"/>
    <cellStyle name="Note 38 10 8" xfId="36449"/>
    <cellStyle name="Note 38 11" xfId="8637"/>
    <cellStyle name="Note 38 11 2" xfId="8638"/>
    <cellStyle name="Note 38 11 3" xfId="8639"/>
    <cellStyle name="Note 38 11 4" xfId="8640"/>
    <cellStyle name="Note 38 11 5" xfId="8641"/>
    <cellStyle name="Note 38 11 6" xfId="36450"/>
    <cellStyle name="Note 38 11 7" xfId="36451"/>
    <cellStyle name="Note 38 11 8" xfId="36452"/>
    <cellStyle name="Note 38 12" xfId="8642"/>
    <cellStyle name="Note 38 12 2" xfId="8643"/>
    <cellStyle name="Note 38 12 3" xfId="8644"/>
    <cellStyle name="Note 38 12 4" xfId="8645"/>
    <cellStyle name="Note 38 12 5" xfId="8646"/>
    <cellStyle name="Note 38 12 6" xfId="36453"/>
    <cellStyle name="Note 38 12 7" xfId="36454"/>
    <cellStyle name="Note 38 12 8" xfId="36455"/>
    <cellStyle name="Note 38 13" xfId="8647"/>
    <cellStyle name="Note 38 14" xfId="8648"/>
    <cellStyle name="Note 38 15" xfId="8649"/>
    <cellStyle name="Note 38 16" xfId="8650"/>
    <cellStyle name="Note 38 17" xfId="36456"/>
    <cellStyle name="Note 38 18" xfId="36457"/>
    <cellStyle name="Note 38 19" xfId="36458"/>
    <cellStyle name="Note 38 2" xfId="8651"/>
    <cellStyle name="Note 38 2 10" xfId="8652"/>
    <cellStyle name="Note 38 2 11" xfId="36459"/>
    <cellStyle name="Note 38 2 12" xfId="36460"/>
    <cellStyle name="Note 38 2 13" xfId="36461"/>
    <cellStyle name="Note 38 2 2" xfId="8653"/>
    <cellStyle name="Note 38 2 2 2" xfId="8654"/>
    <cellStyle name="Note 38 2 2 3" xfId="8655"/>
    <cellStyle name="Note 38 2 2 4" xfId="8656"/>
    <cellStyle name="Note 38 2 2 5" xfId="8657"/>
    <cellStyle name="Note 38 2 2 6" xfId="36462"/>
    <cellStyle name="Note 38 2 2 7" xfId="36463"/>
    <cellStyle name="Note 38 2 2 8" xfId="36464"/>
    <cellStyle name="Note 38 2 3" xfId="8658"/>
    <cellStyle name="Note 38 2 3 2" xfId="8659"/>
    <cellStyle name="Note 38 2 3 3" xfId="8660"/>
    <cellStyle name="Note 38 2 3 4" xfId="8661"/>
    <cellStyle name="Note 38 2 3 5" xfId="8662"/>
    <cellStyle name="Note 38 2 3 6" xfId="36465"/>
    <cellStyle name="Note 38 2 3 7" xfId="36466"/>
    <cellStyle name="Note 38 2 3 8" xfId="36467"/>
    <cellStyle name="Note 38 2 4" xfId="8663"/>
    <cellStyle name="Note 38 2 4 2" xfId="8664"/>
    <cellStyle name="Note 38 2 4 3" xfId="8665"/>
    <cellStyle name="Note 38 2 4 4" xfId="8666"/>
    <cellStyle name="Note 38 2 4 5" xfId="8667"/>
    <cellStyle name="Note 38 2 4 6" xfId="36468"/>
    <cellStyle name="Note 38 2 4 7" xfId="36469"/>
    <cellStyle name="Note 38 2 4 8" xfId="36470"/>
    <cellStyle name="Note 38 2 5" xfId="8668"/>
    <cellStyle name="Note 38 2 5 2" xfId="8669"/>
    <cellStyle name="Note 38 2 5 3" xfId="8670"/>
    <cellStyle name="Note 38 2 5 4" xfId="8671"/>
    <cellStyle name="Note 38 2 5 5" xfId="8672"/>
    <cellStyle name="Note 38 2 5 6" xfId="36471"/>
    <cellStyle name="Note 38 2 5 7" xfId="36472"/>
    <cellStyle name="Note 38 2 5 8" xfId="36473"/>
    <cellStyle name="Note 38 2 6" xfId="8673"/>
    <cellStyle name="Note 38 2 6 2" xfId="8674"/>
    <cellStyle name="Note 38 2 6 3" xfId="8675"/>
    <cellStyle name="Note 38 2 6 4" xfId="8676"/>
    <cellStyle name="Note 38 2 6 5" xfId="8677"/>
    <cellStyle name="Note 38 2 6 6" xfId="36474"/>
    <cellStyle name="Note 38 2 6 7" xfId="36475"/>
    <cellStyle name="Note 38 2 6 8" xfId="36476"/>
    <cellStyle name="Note 38 2 7" xfId="8678"/>
    <cellStyle name="Note 38 2 8" xfId="8679"/>
    <cellStyle name="Note 38 2 9" xfId="8680"/>
    <cellStyle name="Note 38 3" xfId="8681"/>
    <cellStyle name="Note 38 3 10" xfId="8682"/>
    <cellStyle name="Note 38 3 11" xfId="36477"/>
    <cellStyle name="Note 38 3 12" xfId="36478"/>
    <cellStyle name="Note 38 3 13" xfId="36479"/>
    <cellStyle name="Note 38 3 2" xfId="8683"/>
    <cellStyle name="Note 38 3 2 2" xfId="8684"/>
    <cellStyle name="Note 38 3 2 3" xfId="8685"/>
    <cellStyle name="Note 38 3 2 4" xfId="8686"/>
    <cellStyle name="Note 38 3 2 5" xfId="8687"/>
    <cellStyle name="Note 38 3 2 6" xfId="36480"/>
    <cellStyle name="Note 38 3 2 7" xfId="36481"/>
    <cellStyle name="Note 38 3 2 8" xfId="36482"/>
    <cellStyle name="Note 38 3 3" xfId="8688"/>
    <cellStyle name="Note 38 3 3 2" xfId="8689"/>
    <cellStyle name="Note 38 3 3 3" xfId="8690"/>
    <cellStyle name="Note 38 3 3 4" xfId="8691"/>
    <cellStyle name="Note 38 3 3 5" xfId="8692"/>
    <cellStyle name="Note 38 3 3 6" xfId="36483"/>
    <cellStyle name="Note 38 3 3 7" xfId="36484"/>
    <cellStyle name="Note 38 3 3 8" xfId="36485"/>
    <cellStyle name="Note 38 3 4" xfId="8693"/>
    <cellStyle name="Note 38 3 4 2" xfId="8694"/>
    <cellStyle name="Note 38 3 4 3" xfId="8695"/>
    <cellStyle name="Note 38 3 4 4" xfId="8696"/>
    <cellStyle name="Note 38 3 4 5" xfId="8697"/>
    <cellStyle name="Note 38 3 4 6" xfId="36486"/>
    <cellStyle name="Note 38 3 4 7" xfId="36487"/>
    <cellStyle name="Note 38 3 4 8" xfId="36488"/>
    <cellStyle name="Note 38 3 5" xfId="8698"/>
    <cellStyle name="Note 38 3 5 2" xfId="8699"/>
    <cellStyle name="Note 38 3 5 3" xfId="8700"/>
    <cellStyle name="Note 38 3 5 4" xfId="8701"/>
    <cellStyle name="Note 38 3 5 5" xfId="8702"/>
    <cellStyle name="Note 38 3 5 6" xfId="36489"/>
    <cellStyle name="Note 38 3 5 7" xfId="36490"/>
    <cellStyle name="Note 38 3 5 8" xfId="36491"/>
    <cellStyle name="Note 38 3 6" xfId="8703"/>
    <cellStyle name="Note 38 3 6 2" xfId="8704"/>
    <cellStyle name="Note 38 3 6 3" xfId="8705"/>
    <cellStyle name="Note 38 3 6 4" xfId="8706"/>
    <cellStyle name="Note 38 3 6 5" xfId="8707"/>
    <cellStyle name="Note 38 3 6 6" xfId="36492"/>
    <cellStyle name="Note 38 3 6 7" xfId="36493"/>
    <cellStyle name="Note 38 3 6 8" xfId="36494"/>
    <cellStyle name="Note 38 3 7" xfId="8708"/>
    <cellStyle name="Note 38 3 8" xfId="8709"/>
    <cellStyle name="Note 38 3 9" xfId="8710"/>
    <cellStyle name="Note 38 4" xfId="8711"/>
    <cellStyle name="Note 38 4 10" xfId="8712"/>
    <cellStyle name="Note 38 4 11" xfId="36495"/>
    <cellStyle name="Note 38 4 12" xfId="36496"/>
    <cellStyle name="Note 38 4 13" xfId="36497"/>
    <cellStyle name="Note 38 4 2" xfId="8713"/>
    <cellStyle name="Note 38 4 2 2" xfId="8714"/>
    <cellStyle name="Note 38 4 2 3" xfId="8715"/>
    <cellStyle name="Note 38 4 2 4" xfId="8716"/>
    <cellStyle name="Note 38 4 2 5" xfId="8717"/>
    <cellStyle name="Note 38 4 2 6" xfId="36498"/>
    <cellStyle name="Note 38 4 2 7" xfId="36499"/>
    <cellStyle name="Note 38 4 2 8" xfId="36500"/>
    <cellStyle name="Note 38 4 3" xfId="8718"/>
    <cellStyle name="Note 38 4 3 2" xfId="8719"/>
    <cellStyle name="Note 38 4 3 3" xfId="8720"/>
    <cellStyle name="Note 38 4 3 4" xfId="8721"/>
    <cellStyle name="Note 38 4 3 5" xfId="8722"/>
    <cellStyle name="Note 38 4 3 6" xfId="36501"/>
    <cellStyle name="Note 38 4 3 7" xfId="36502"/>
    <cellStyle name="Note 38 4 3 8" xfId="36503"/>
    <cellStyle name="Note 38 4 4" xfId="8723"/>
    <cellStyle name="Note 38 4 4 2" xfId="8724"/>
    <cellStyle name="Note 38 4 4 3" xfId="8725"/>
    <cellStyle name="Note 38 4 4 4" xfId="8726"/>
    <cellStyle name="Note 38 4 4 5" xfId="8727"/>
    <cellStyle name="Note 38 4 4 6" xfId="36504"/>
    <cellStyle name="Note 38 4 4 7" xfId="36505"/>
    <cellStyle name="Note 38 4 4 8" xfId="36506"/>
    <cellStyle name="Note 38 4 5" xfId="8728"/>
    <cellStyle name="Note 38 4 5 2" xfId="8729"/>
    <cellStyle name="Note 38 4 5 3" xfId="8730"/>
    <cellStyle name="Note 38 4 5 4" xfId="8731"/>
    <cellStyle name="Note 38 4 5 5" xfId="8732"/>
    <cellStyle name="Note 38 4 5 6" xfId="36507"/>
    <cellStyle name="Note 38 4 5 7" xfId="36508"/>
    <cellStyle name="Note 38 4 5 8" xfId="36509"/>
    <cellStyle name="Note 38 4 6" xfId="8733"/>
    <cellStyle name="Note 38 4 6 2" xfId="8734"/>
    <cellStyle name="Note 38 4 6 3" xfId="8735"/>
    <cellStyle name="Note 38 4 6 4" xfId="8736"/>
    <cellStyle name="Note 38 4 6 5" xfId="8737"/>
    <cellStyle name="Note 38 4 6 6" xfId="36510"/>
    <cellStyle name="Note 38 4 6 7" xfId="36511"/>
    <cellStyle name="Note 38 4 6 8" xfId="36512"/>
    <cellStyle name="Note 38 4 7" xfId="8738"/>
    <cellStyle name="Note 38 4 8" xfId="8739"/>
    <cellStyle name="Note 38 4 9" xfId="8740"/>
    <cellStyle name="Note 38 5" xfId="8741"/>
    <cellStyle name="Note 38 5 10" xfId="8742"/>
    <cellStyle name="Note 38 5 11" xfId="36513"/>
    <cellStyle name="Note 38 5 12" xfId="36514"/>
    <cellStyle name="Note 38 5 13" xfId="36515"/>
    <cellStyle name="Note 38 5 2" xfId="8743"/>
    <cellStyle name="Note 38 5 2 2" xfId="8744"/>
    <cellStyle name="Note 38 5 2 3" xfId="8745"/>
    <cellStyle name="Note 38 5 2 4" xfId="8746"/>
    <cellStyle name="Note 38 5 2 5" xfId="8747"/>
    <cellStyle name="Note 38 5 2 6" xfId="36516"/>
    <cellStyle name="Note 38 5 2 7" xfId="36517"/>
    <cellStyle name="Note 38 5 2 8" xfId="36518"/>
    <cellStyle name="Note 38 5 3" xfId="8748"/>
    <cellStyle name="Note 38 5 3 2" xfId="8749"/>
    <cellStyle name="Note 38 5 3 3" xfId="8750"/>
    <cellStyle name="Note 38 5 3 4" xfId="8751"/>
    <cellStyle name="Note 38 5 3 5" xfId="8752"/>
    <cellStyle name="Note 38 5 3 6" xfId="36519"/>
    <cellStyle name="Note 38 5 3 7" xfId="36520"/>
    <cellStyle name="Note 38 5 3 8" xfId="36521"/>
    <cellStyle name="Note 38 5 4" xfId="8753"/>
    <cellStyle name="Note 38 5 4 2" xfId="8754"/>
    <cellStyle name="Note 38 5 4 3" xfId="8755"/>
    <cellStyle name="Note 38 5 4 4" xfId="8756"/>
    <cellStyle name="Note 38 5 4 5" xfId="8757"/>
    <cellStyle name="Note 38 5 4 6" xfId="36522"/>
    <cellStyle name="Note 38 5 4 7" xfId="36523"/>
    <cellStyle name="Note 38 5 4 8" xfId="36524"/>
    <cellStyle name="Note 38 5 5" xfId="8758"/>
    <cellStyle name="Note 38 5 5 2" xfId="8759"/>
    <cellStyle name="Note 38 5 5 3" xfId="8760"/>
    <cellStyle name="Note 38 5 5 4" xfId="8761"/>
    <cellStyle name="Note 38 5 5 5" xfId="8762"/>
    <cellStyle name="Note 38 5 5 6" xfId="36525"/>
    <cellStyle name="Note 38 5 5 7" xfId="36526"/>
    <cellStyle name="Note 38 5 5 8" xfId="36527"/>
    <cellStyle name="Note 38 5 6" xfId="8763"/>
    <cellStyle name="Note 38 5 6 2" xfId="8764"/>
    <cellStyle name="Note 38 5 6 3" xfId="8765"/>
    <cellStyle name="Note 38 5 6 4" xfId="8766"/>
    <cellStyle name="Note 38 5 6 5" xfId="8767"/>
    <cellStyle name="Note 38 5 6 6" xfId="36528"/>
    <cellStyle name="Note 38 5 6 7" xfId="36529"/>
    <cellStyle name="Note 38 5 6 8" xfId="36530"/>
    <cellStyle name="Note 38 5 7" xfId="8768"/>
    <cellStyle name="Note 38 5 8" xfId="8769"/>
    <cellStyle name="Note 38 5 9" xfId="8770"/>
    <cellStyle name="Note 38 6" xfId="8771"/>
    <cellStyle name="Note 38 6 10" xfId="8772"/>
    <cellStyle name="Note 38 6 11" xfId="36531"/>
    <cellStyle name="Note 38 6 12" xfId="36532"/>
    <cellStyle name="Note 38 6 13" xfId="36533"/>
    <cellStyle name="Note 38 6 2" xfId="8773"/>
    <cellStyle name="Note 38 6 2 2" xfId="8774"/>
    <cellStyle name="Note 38 6 2 3" xfId="8775"/>
    <cellStyle name="Note 38 6 2 4" xfId="8776"/>
    <cellStyle name="Note 38 6 2 5" xfId="8777"/>
    <cellStyle name="Note 38 6 2 6" xfId="36534"/>
    <cellStyle name="Note 38 6 2 7" xfId="36535"/>
    <cellStyle name="Note 38 6 2 8" xfId="36536"/>
    <cellStyle name="Note 38 6 3" xfId="8778"/>
    <cellStyle name="Note 38 6 3 2" xfId="8779"/>
    <cellStyle name="Note 38 6 3 3" xfId="8780"/>
    <cellStyle name="Note 38 6 3 4" xfId="8781"/>
    <cellStyle name="Note 38 6 3 5" xfId="8782"/>
    <cellStyle name="Note 38 6 3 6" xfId="36537"/>
    <cellStyle name="Note 38 6 3 7" xfId="36538"/>
    <cellStyle name="Note 38 6 3 8" xfId="36539"/>
    <cellStyle name="Note 38 6 4" xfId="8783"/>
    <cellStyle name="Note 38 6 4 2" xfId="8784"/>
    <cellStyle name="Note 38 6 4 3" xfId="8785"/>
    <cellStyle name="Note 38 6 4 4" xfId="8786"/>
    <cellStyle name="Note 38 6 4 5" xfId="8787"/>
    <cellStyle name="Note 38 6 4 6" xfId="36540"/>
    <cellStyle name="Note 38 6 4 7" xfId="36541"/>
    <cellStyle name="Note 38 6 4 8" xfId="36542"/>
    <cellStyle name="Note 38 6 5" xfId="8788"/>
    <cellStyle name="Note 38 6 5 2" xfId="8789"/>
    <cellStyle name="Note 38 6 5 3" xfId="8790"/>
    <cellStyle name="Note 38 6 5 4" xfId="8791"/>
    <cellStyle name="Note 38 6 5 5" xfId="8792"/>
    <cellStyle name="Note 38 6 5 6" xfId="36543"/>
    <cellStyle name="Note 38 6 5 7" xfId="36544"/>
    <cellStyle name="Note 38 6 5 8" xfId="36545"/>
    <cellStyle name="Note 38 6 6" xfId="8793"/>
    <cellStyle name="Note 38 6 6 2" xfId="8794"/>
    <cellStyle name="Note 38 6 6 3" xfId="8795"/>
    <cellStyle name="Note 38 6 6 4" xfId="8796"/>
    <cellStyle name="Note 38 6 6 5" xfId="8797"/>
    <cellStyle name="Note 38 6 6 6" xfId="36546"/>
    <cellStyle name="Note 38 6 6 7" xfId="36547"/>
    <cellStyle name="Note 38 6 6 8" xfId="36548"/>
    <cellStyle name="Note 38 6 7" xfId="8798"/>
    <cellStyle name="Note 38 6 8" xfId="8799"/>
    <cellStyle name="Note 38 6 9" xfId="8800"/>
    <cellStyle name="Note 38 7" xfId="8801"/>
    <cellStyle name="Note 38 7 10" xfId="8802"/>
    <cellStyle name="Note 38 7 11" xfId="36549"/>
    <cellStyle name="Note 38 7 12" xfId="36550"/>
    <cellStyle name="Note 38 7 13" xfId="36551"/>
    <cellStyle name="Note 38 7 2" xfId="8803"/>
    <cellStyle name="Note 38 7 2 2" xfId="8804"/>
    <cellStyle name="Note 38 7 2 3" xfId="8805"/>
    <cellStyle name="Note 38 7 2 4" xfId="8806"/>
    <cellStyle name="Note 38 7 2 5" xfId="8807"/>
    <cellStyle name="Note 38 7 2 6" xfId="36552"/>
    <cellStyle name="Note 38 7 2 7" xfId="36553"/>
    <cellStyle name="Note 38 7 2 8" xfId="36554"/>
    <cellStyle name="Note 38 7 3" xfId="8808"/>
    <cellStyle name="Note 38 7 3 2" xfId="8809"/>
    <cellStyle name="Note 38 7 3 3" xfId="8810"/>
    <cellStyle name="Note 38 7 3 4" xfId="8811"/>
    <cellStyle name="Note 38 7 3 5" xfId="8812"/>
    <cellStyle name="Note 38 7 3 6" xfId="36555"/>
    <cellStyle name="Note 38 7 3 7" xfId="36556"/>
    <cellStyle name="Note 38 7 3 8" xfId="36557"/>
    <cellStyle name="Note 38 7 4" xfId="8813"/>
    <cellStyle name="Note 38 7 4 2" xfId="8814"/>
    <cellStyle name="Note 38 7 4 3" xfId="8815"/>
    <cellStyle name="Note 38 7 4 4" xfId="8816"/>
    <cellStyle name="Note 38 7 4 5" xfId="8817"/>
    <cellStyle name="Note 38 7 4 6" xfId="36558"/>
    <cellStyle name="Note 38 7 4 7" xfId="36559"/>
    <cellStyle name="Note 38 7 4 8" xfId="36560"/>
    <cellStyle name="Note 38 7 5" xfId="8818"/>
    <cellStyle name="Note 38 7 5 2" xfId="8819"/>
    <cellStyle name="Note 38 7 5 3" xfId="8820"/>
    <cellStyle name="Note 38 7 5 4" xfId="8821"/>
    <cellStyle name="Note 38 7 5 5" xfId="8822"/>
    <cellStyle name="Note 38 7 5 6" xfId="36561"/>
    <cellStyle name="Note 38 7 5 7" xfId="36562"/>
    <cellStyle name="Note 38 7 5 8" xfId="36563"/>
    <cellStyle name="Note 38 7 6" xfId="8823"/>
    <cellStyle name="Note 38 7 6 2" xfId="8824"/>
    <cellStyle name="Note 38 7 6 3" xfId="8825"/>
    <cellStyle name="Note 38 7 6 4" xfId="8826"/>
    <cellStyle name="Note 38 7 6 5" xfId="8827"/>
    <cellStyle name="Note 38 7 6 6" xfId="36564"/>
    <cellStyle name="Note 38 7 6 7" xfId="36565"/>
    <cellStyle name="Note 38 7 6 8" xfId="36566"/>
    <cellStyle name="Note 38 7 7" xfId="8828"/>
    <cellStyle name="Note 38 7 8" xfId="8829"/>
    <cellStyle name="Note 38 7 9" xfId="8830"/>
    <cellStyle name="Note 38 8" xfId="8831"/>
    <cellStyle name="Note 38 8 2" xfId="8832"/>
    <cellStyle name="Note 38 8 3" xfId="8833"/>
    <cellStyle name="Note 38 8 4" xfId="8834"/>
    <cellStyle name="Note 38 8 5" xfId="8835"/>
    <cellStyle name="Note 38 8 6" xfId="36567"/>
    <cellStyle name="Note 38 8 7" xfId="36568"/>
    <cellStyle name="Note 38 8 8" xfId="36569"/>
    <cellStyle name="Note 38 9" xfId="8836"/>
    <cellStyle name="Note 38 9 2" xfId="8837"/>
    <cellStyle name="Note 38 9 3" xfId="8838"/>
    <cellStyle name="Note 38 9 4" xfId="8839"/>
    <cellStyle name="Note 38 9 5" xfId="8840"/>
    <cellStyle name="Note 38 9 6" xfId="36570"/>
    <cellStyle name="Note 38 9 7" xfId="36571"/>
    <cellStyle name="Note 38 9 8" xfId="36572"/>
    <cellStyle name="Note 39" xfId="8841"/>
    <cellStyle name="Note 39 10" xfId="8842"/>
    <cellStyle name="Note 39 11" xfId="8843"/>
    <cellStyle name="Note 39 12" xfId="8844"/>
    <cellStyle name="Note 39 13" xfId="36573"/>
    <cellStyle name="Note 39 14" xfId="36574"/>
    <cellStyle name="Note 39 15" xfId="36575"/>
    <cellStyle name="Note 39 2" xfId="8845"/>
    <cellStyle name="Note 39 2 10" xfId="8846"/>
    <cellStyle name="Note 39 2 11" xfId="36576"/>
    <cellStyle name="Note 39 2 12" xfId="36577"/>
    <cellStyle name="Note 39 2 13" xfId="36578"/>
    <cellStyle name="Note 39 2 2" xfId="8847"/>
    <cellStyle name="Note 39 2 2 2" xfId="8848"/>
    <cellStyle name="Note 39 2 2 3" xfId="8849"/>
    <cellStyle name="Note 39 2 2 4" xfId="8850"/>
    <cellStyle name="Note 39 2 2 5" xfId="8851"/>
    <cellStyle name="Note 39 2 2 6" xfId="36579"/>
    <cellStyle name="Note 39 2 2 7" xfId="36580"/>
    <cellStyle name="Note 39 2 2 8" xfId="36581"/>
    <cellStyle name="Note 39 2 3" xfId="8852"/>
    <cellStyle name="Note 39 2 3 2" xfId="8853"/>
    <cellStyle name="Note 39 2 3 3" xfId="8854"/>
    <cellStyle name="Note 39 2 3 4" xfId="8855"/>
    <cellStyle name="Note 39 2 3 5" xfId="8856"/>
    <cellStyle name="Note 39 2 3 6" xfId="36582"/>
    <cellStyle name="Note 39 2 3 7" xfId="36583"/>
    <cellStyle name="Note 39 2 3 8" xfId="36584"/>
    <cellStyle name="Note 39 2 4" xfId="8857"/>
    <cellStyle name="Note 39 2 4 2" xfId="8858"/>
    <cellStyle name="Note 39 2 4 3" xfId="8859"/>
    <cellStyle name="Note 39 2 4 4" xfId="8860"/>
    <cellStyle name="Note 39 2 4 5" xfId="8861"/>
    <cellStyle name="Note 39 2 4 6" xfId="36585"/>
    <cellStyle name="Note 39 2 4 7" xfId="36586"/>
    <cellStyle name="Note 39 2 4 8" xfId="36587"/>
    <cellStyle name="Note 39 2 5" xfId="8862"/>
    <cellStyle name="Note 39 2 5 2" xfId="8863"/>
    <cellStyle name="Note 39 2 5 3" xfId="8864"/>
    <cellStyle name="Note 39 2 5 4" xfId="8865"/>
    <cellStyle name="Note 39 2 5 5" xfId="8866"/>
    <cellStyle name="Note 39 2 5 6" xfId="36588"/>
    <cellStyle name="Note 39 2 5 7" xfId="36589"/>
    <cellStyle name="Note 39 2 5 8" xfId="36590"/>
    <cellStyle name="Note 39 2 6" xfId="8867"/>
    <cellStyle name="Note 39 2 6 2" xfId="8868"/>
    <cellStyle name="Note 39 2 6 3" xfId="8869"/>
    <cellStyle name="Note 39 2 6 4" xfId="8870"/>
    <cellStyle name="Note 39 2 6 5" xfId="8871"/>
    <cellStyle name="Note 39 2 6 6" xfId="36591"/>
    <cellStyle name="Note 39 2 6 7" xfId="36592"/>
    <cellStyle name="Note 39 2 6 8" xfId="36593"/>
    <cellStyle name="Note 39 2 7" xfId="8872"/>
    <cellStyle name="Note 39 2 8" xfId="8873"/>
    <cellStyle name="Note 39 2 9" xfId="8874"/>
    <cellStyle name="Note 39 3" xfId="8875"/>
    <cellStyle name="Note 39 3 10" xfId="8876"/>
    <cellStyle name="Note 39 3 11" xfId="36594"/>
    <cellStyle name="Note 39 3 12" xfId="36595"/>
    <cellStyle name="Note 39 3 13" xfId="36596"/>
    <cellStyle name="Note 39 3 2" xfId="8877"/>
    <cellStyle name="Note 39 3 2 2" xfId="8878"/>
    <cellStyle name="Note 39 3 2 3" xfId="8879"/>
    <cellStyle name="Note 39 3 2 4" xfId="8880"/>
    <cellStyle name="Note 39 3 2 5" xfId="8881"/>
    <cellStyle name="Note 39 3 2 6" xfId="36597"/>
    <cellStyle name="Note 39 3 2 7" xfId="36598"/>
    <cellStyle name="Note 39 3 2 8" xfId="36599"/>
    <cellStyle name="Note 39 3 3" xfId="8882"/>
    <cellStyle name="Note 39 3 3 2" xfId="8883"/>
    <cellStyle name="Note 39 3 3 3" xfId="8884"/>
    <cellStyle name="Note 39 3 3 4" xfId="8885"/>
    <cellStyle name="Note 39 3 3 5" xfId="8886"/>
    <cellStyle name="Note 39 3 3 6" xfId="36600"/>
    <cellStyle name="Note 39 3 3 7" xfId="36601"/>
    <cellStyle name="Note 39 3 3 8" xfId="36602"/>
    <cellStyle name="Note 39 3 4" xfId="8887"/>
    <cellStyle name="Note 39 3 4 2" xfId="8888"/>
    <cellStyle name="Note 39 3 4 3" xfId="8889"/>
    <cellStyle name="Note 39 3 4 4" xfId="8890"/>
    <cellStyle name="Note 39 3 4 5" xfId="8891"/>
    <cellStyle name="Note 39 3 4 6" xfId="36603"/>
    <cellStyle name="Note 39 3 4 7" xfId="36604"/>
    <cellStyle name="Note 39 3 4 8" xfId="36605"/>
    <cellStyle name="Note 39 3 5" xfId="8892"/>
    <cellStyle name="Note 39 3 5 2" xfId="8893"/>
    <cellStyle name="Note 39 3 5 3" xfId="8894"/>
    <cellStyle name="Note 39 3 5 4" xfId="8895"/>
    <cellStyle name="Note 39 3 5 5" xfId="8896"/>
    <cellStyle name="Note 39 3 5 6" xfId="36606"/>
    <cellStyle name="Note 39 3 5 7" xfId="36607"/>
    <cellStyle name="Note 39 3 5 8" xfId="36608"/>
    <cellStyle name="Note 39 3 6" xfId="8897"/>
    <cellStyle name="Note 39 3 6 2" xfId="8898"/>
    <cellStyle name="Note 39 3 6 3" xfId="8899"/>
    <cellStyle name="Note 39 3 6 4" xfId="8900"/>
    <cellStyle name="Note 39 3 6 5" xfId="8901"/>
    <cellStyle name="Note 39 3 6 6" xfId="36609"/>
    <cellStyle name="Note 39 3 6 7" xfId="36610"/>
    <cellStyle name="Note 39 3 6 8" xfId="36611"/>
    <cellStyle name="Note 39 3 7" xfId="8902"/>
    <cellStyle name="Note 39 3 8" xfId="8903"/>
    <cellStyle name="Note 39 3 9" xfId="8904"/>
    <cellStyle name="Note 39 4" xfId="8905"/>
    <cellStyle name="Note 39 4 2" xfId="8906"/>
    <cellStyle name="Note 39 4 3" xfId="8907"/>
    <cellStyle name="Note 39 4 4" xfId="8908"/>
    <cellStyle name="Note 39 4 5" xfId="8909"/>
    <cellStyle name="Note 39 4 6" xfId="36612"/>
    <cellStyle name="Note 39 4 7" xfId="36613"/>
    <cellStyle name="Note 39 4 8" xfId="36614"/>
    <cellStyle name="Note 39 5" xfId="8910"/>
    <cellStyle name="Note 39 5 2" xfId="8911"/>
    <cellStyle name="Note 39 5 3" xfId="8912"/>
    <cellStyle name="Note 39 5 4" xfId="8913"/>
    <cellStyle name="Note 39 5 5" xfId="8914"/>
    <cellStyle name="Note 39 5 6" xfId="36615"/>
    <cellStyle name="Note 39 5 7" xfId="36616"/>
    <cellStyle name="Note 39 5 8" xfId="36617"/>
    <cellStyle name="Note 39 6" xfId="8915"/>
    <cellStyle name="Note 39 6 2" xfId="8916"/>
    <cellStyle name="Note 39 6 3" xfId="8917"/>
    <cellStyle name="Note 39 6 4" xfId="8918"/>
    <cellStyle name="Note 39 6 5" xfId="8919"/>
    <cellStyle name="Note 39 6 6" xfId="36618"/>
    <cellStyle name="Note 39 6 7" xfId="36619"/>
    <cellStyle name="Note 39 6 8" xfId="36620"/>
    <cellStyle name="Note 39 7" xfId="8920"/>
    <cellStyle name="Note 39 7 2" xfId="8921"/>
    <cellStyle name="Note 39 7 3" xfId="8922"/>
    <cellStyle name="Note 39 7 4" xfId="8923"/>
    <cellStyle name="Note 39 7 5" xfId="8924"/>
    <cellStyle name="Note 39 7 6" xfId="36621"/>
    <cellStyle name="Note 39 7 7" xfId="36622"/>
    <cellStyle name="Note 39 7 8" xfId="36623"/>
    <cellStyle name="Note 39 8" xfId="8925"/>
    <cellStyle name="Note 39 8 2" xfId="8926"/>
    <cellStyle name="Note 39 8 3" xfId="8927"/>
    <cellStyle name="Note 39 8 4" xfId="8928"/>
    <cellStyle name="Note 39 8 5" xfId="8929"/>
    <cellStyle name="Note 39 8 6" xfId="36624"/>
    <cellStyle name="Note 39 8 7" xfId="36625"/>
    <cellStyle name="Note 39 8 8" xfId="36626"/>
    <cellStyle name="Note 39 9" xfId="8930"/>
    <cellStyle name="Note 4" xfId="8931"/>
    <cellStyle name="Note 4 10" xfId="8932"/>
    <cellStyle name="Note 4 10 10" xfId="8933"/>
    <cellStyle name="Note 4 10 11" xfId="36627"/>
    <cellStyle name="Note 4 10 12" xfId="36628"/>
    <cellStyle name="Note 4 10 13" xfId="36629"/>
    <cellStyle name="Note 4 10 2" xfId="8934"/>
    <cellStyle name="Note 4 10 2 2" xfId="8935"/>
    <cellStyle name="Note 4 10 2 3" xfId="8936"/>
    <cellStyle name="Note 4 10 2 4" xfId="8937"/>
    <cellStyle name="Note 4 10 2 5" xfId="8938"/>
    <cellStyle name="Note 4 10 2 6" xfId="36630"/>
    <cellStyle name="Note 4 10 2 7" xfId="36631"/>
    <cellStyle name="Note 4 10 2 8" xfId="36632"/>
    <cellStyle name="Note 4 10 3" xfId="8939"/>
    <cellStyle name="Note 4 10 3 2" xfId="8940"/>
    <cellStyle name="Note 4 10 3 3" xfId="8941"/>
    <cellStyle name="Note 4 10 3 4" xfId="8942"/>
    <cellStyle name="Note 4 10 3 5" xfId="8943"/>
    <cellStyle name="Note 4 10 3 6" xfId="36633"/>
    <cellStyle name="Note 4 10 3 7" xfId="36634"/>
    <cellStyle name="Note 4 10 3 8" xfId="36635"/>
    <cellStyle name="Note 4 10 4" xfId="8944"/>
    <cellStyle name="Note 4 10 4 2" xfId="8945"/>
    <cellStyle name="Note 4 10 4 3" xfId="8946"/>
    <cellStyle name="Note 4 10 4 4" xfId="8947"/>
    <cellStyle name="Note 4 10 4 5" xfId="8948"/>
    <cellStyle name="Note 4 10 4 6" xfId="36636"/>
    <cellStyle name="Note 4 10 4 7" xfId="36637"/>
    <cellStyle name="Note 4 10 4 8" xfId="36638"/>
    <cellStyle name="Note 4 10 5" xfId="8949"/>
    <cellStyle name="Note 4 10 5 2" xfId="8950"/>
    <cellStyle name="Note 4 10 5 3" xfId="8951"/>
    <cellStyle name="Note 4 10 5 4" xfId="8952"/>
    <cellStyle name="Note 4 10 5 5" xfId="8953"/>
    <cellStyle name="Note 4 10 5 6" xfId="36639"/>
    <cellStyle name="Note 4 10 5 7" xfId="36640"/>
    <cellStyle name="Note 4 10 5 8" xfId="36641"/>
    <cellStyle name="Note 4 10 6" xfId="8954"/>
    <cellStyle name="Note 4 10 6 2" xfId="8955"/>
    <cellStyle name="Note 4 10 6 3" xfId="8956"/>
    <cellStyle name="Note 4 10 6 4" xfId="8957"/>
    <cellStyle name="Note 4 10 6 5" xfId="8958"/>
    <cellStyle name="Note 4 10 6 6" xfId="36642"/>
    <cellStyle name="Note 4 10 6 7" xfId="36643"/>
    <cellStyle name="Note 4 10 6 8" xfId="36644"/>
    <cellStyle name="Note 4 10 7" xfId="8959"/>
    <cellStyle name="Note 4 10 8" xfId="8960"/>
    <cellStyle name="Note 4 10 9" xfId="8961"/>
    <cellStyle name="Note 4 11" xfId="8962"/>
    <cellStyle name="Note 4 11 2" xfId="8963"/>
    <cellStyle name="Note 4 11 3" xfId="8964"/>
    <cellStyle name="Note 4 11 4" xfId="8965"/>
    <cellStyle name="Note 4 11 5" xfId="8966"/>
    <cellStyle name="Note 4 11 6" xfId="36645"/>
    <cellStyle name="Note 4 11 7" xfId="36646"/>
    <cellStyle name="Note 4 11 8" xfId="36647"/>
    <cellStyle name="Note 4 12" xfId="8967"/>
    <cellStyle name="Note 4 12 2" xfId="8968"/>
    <cellStyle name="Note 4 12 3" xfId="8969"/>
    <cellStyle name="Note 4 12 4" xfId="8970"/>
    <cellStyle name="Note 4 12 5" xfId="8971"/>
    <cellStyle name="Note 4 12 6" xfId="36648"/>
    <cellStyle name="Note 4 12 7" xfId="36649"/>
    <cellStyle name="Note 4 12 8" xfId="36650"/>
    <cellStyle name="Note 4 13" xfId="8972"/>
    <cellStyle name="Note 4 13 2" xfId="8973"/>
    <cellStyle name="Note 4 13 3" xfId="8974"/>
    <cellStyle name="Note 4 13 4" xfId="8975"/>
    <cellStyle name="Note 4 13 5" xfId="8976"/>
    <cellStyle name="Note 4 13 6" xfId="36651"/>
    <cellStyle name="Note 4 13 7" xfId="36652"/>
    <cellStyle name="Note 4 13 8" xfId="36653"/>
    <cellStyle name="Note 4 14" xfId="8977"/>
    <cellStyle name="Note 4 14 2" xfId="8978"/>
    <cellStyle name="Note 4 14 3" xfId="8979"/>
    <cellStyle name="Note 4 14 4" xfId="8980"/>
    <cellStyle name="Note 4 14 5" xfId="8981"/>
    <cellStyle name="Note 4 14 6" xfId="36654"/>
    <cellStyle name="Note 4 14 7" xfId="36655"/>
    <cellStyle name="Note 4 14 8" xfId="36656"/>
    <cellStyle name="Note 4 15" xfId="8982"/>
    <cellStyle name="Note 4 15 2" xfId="8983"/>
    <cellStyle name="Note 4 15 3" xfId="8984"/>
    <cellStyle name="Note 4 15 4" xfId="8985"/>
    <cellStyle name="Note 4 15 5" xfId="8986"/>
    <cellStyle name="Note 4 15 6" xfId="36657"/>
    <cellStyle name="Note 4 15 7" xfId="36658"/>
    <cellStyle name="Note 4 15 8" xfId="36659"/>
    <cellStyle name="Note 4 16" xfId="8987"/>
    <cellStyle name="Note 4 17" xfId="8988"/>
    <cellStyle name="Note 4 18" xfId="8989"/>
    <cellStyle name="Note 4 19" xfId="8990"/>
    <cellStyle name="Note 4 2" xfId="8991"/>
    <cellStyle name="Note 4 2 10" xfId="8992"/>
    <cellStyle name="Note 4 2 11" xfId="36660"/>
    <cellStyle name="Note 4 2 12" xfId="36661"/>
    <cellStyle name="Note 4 2 13" xfId="36662"/>
    <cellStyle name="Note 4 2 2" xfId="8993"/>
    <cellStyle name="Note 4 2 2 2" xfId="8994"/>
    <cellStyle name="Note 4 2 2 3" xfId="8995"/>
    <cellStyle name="Note 4 2 2 4" xfId="8996"/>
    <cellStyle name="Note 4 2 2 5" xfId="8997"/>
    <cellStyle name="Note 4 2 2 6" xfId="36663"/>
    <cellStyle name="Note 4 2 2 7" xfId="36664"/>
    <cellStyle name="Note 4 2 2 8" xfId="36665"/>
    <cellStyle name="Note 4 2 3" xfId="8998"/>
    <cellStyle name="Note 4 2 3 2" xfId="8999"/>
    <cellStyle name="Note 4 2 3 3" xfId="9000"/>
    <cellStyle name="Note 4 2 3 4" xfId="9001"/>
    <cellStyle name="Note 4 2 3 5" xfId="9002"/>
    <cellStyle name="Note 4 2 3 6" xfId="36666"/>
    <cellStyle name="Note 4 2 3 7" xfId="36667"/>
    <cellStyle name="Note 4 2 3 8" xfId="36668"/>
    <cellStyle name="Note 4 2 4" xfId="9003"/>
    <cellStyle name="Note 4 2 4 2" xfId="9004"/>
    <cellStyle name="Note 4 2 4 3" xfId="9005"/>
    <cellStyle name="Note 4 2 4 4" xfId="9006"/>
    <cellStyle name="Note 4 2 4 5" xfId="9007"/>
    <cellStyle name="Note 4 2 4 6" xfId="36669"/>
    <cellStyle name="Note 4 2 4 7" xfId="36670"/>
    <cellStyle name="Note 4 2 4 8" xfId="36671"/>
    <cellStyle name="Note 4 2 5" xfId="9008"/>
    <cellStyle name="Note 4 2 5 2" xfId="9009"/>
    <cellStyle name="Note 4 2 5 3" xfId="9010"/>
    <cellStyle name="Note 4 2 5 4" xfId="9011"/>
    <cellStyle name="Note 4 2 5 5" xfId="9012"/>
    <cellStyle name="Note 4 2 5 6" xfId="36672"/>
    <cellStyle name="Note 4 2 5 7" xfId="36673"/>
    <cellStyle name="Note 4 2 5 8" xfId="36674"/>
    <cellStyle name="Note 4 2 6" xfId="9013"/>
    <cellStyle name="Note 4 2 6 2" xfId="9014"/>
    <cellStyle name="Note 4 2 6 3" xfId="9015"/>
    <cellStyle name="Note 4 2 6 4" xfId="9016"/>
    <cellStyle name="Note 4 2 6 5" xfId="9017"/>
    <cellStyle name="Note 4 2 6 6" xfId="36675"/>
    <cellStyle name="Note 4 2 6 7" xfId="36676"/>
    <cellStyle name="Note 4 2 6 8" xfId="36677"/>
    <cellStyle name="Note 4 2 7" xfId="9018"/>
    <cellStyle name="Note 4 2 8" xfId="9019"/>
    <cellStyle name="Note 4 2 9" xfId="9020"/>
    <cellStyle name="Note 4 20" xfId="36678"/>
    <cellStyle name="Note 4 21" xfId="36679"/>
    <cellStyle name="Note 4 22" xfId="36680"/>
    <cellStyle name="Note 4 23" xfId="36681"/>
    <cellStyle name="Note 4 24" xfId="36682"/>
    <cellStyle name="Note 4 3" xfId="9021"/>
    <cellStyle name="Note 4 3 10" xfId="9022"/>
    <cellStyle name="Note 4 3 11" xfId="36683"/>
    <cellStyle name="Note 4 3 12" xfId="36684"/>
    <cellStyle name="Note 4 3 13" xfId="36685"/>
    <cellStyle name="Note 4 3 2" xfId="9023"/>
    <cellStyle name="Note 4 3 2 2" xfId="9024"/>
    <cellStyle name="Note 4 3 2 3" xfId="9025"/>
    <cellStyle name="Note 4 3 2 4" xfId="9026"/>
    <cellStyle name="Note 4 3 2 5" xfId="9027"/>
    <cellStyle name="Note 4 3 2 6" xfId="36686"/>
    <cellStyle name="Note 4 3 2 7" xfId="36687"/>
    <cellStyle name="Note 4 3 2 8" xfId="36688"/>
    <cellStyle name="Note 4 3 3" xfId="9028"/>
    <cellStyle name="Note 4 3 3 2" xfId="9029"/>
    <cellStyle name="Note 4 3 3 3" xfId="9030"/>
    <cellStyle name="Note 4 3 3 4" xfId="9031"/>
    <cellStyle name="Note 4 3 3 5" xfId="9032"/>
    <cellStyle name="Note 4 3 3 6" xfId="36689"/>
    <cellStyle name="Note 4 3 3 7" xfId="36690"/>
    <cellStyle name="Note 4 3 3 8" xfId="36691"/>
    <cellStyle name="Note 4 3 4" xfId="9033"/>
    <cellStyle name="Note 4 3 4 2" xfId="9034"/>
    <cellStyle name="Note 4 3 4 3" xfId="9035"/>
    <cellStyle name="Note 4 3 4 4" xfId="9036"/>
    <cellStyle name="Note 4 3 4 5" xfId="9037"/>
    <cellStyle name="Note 4 3 4 6" xfId="36692"/>
    <cellStyle name="Note 4 3 4 7" xfId="36693"/>
    <cellStyle name="Note 4 3 4 8" xfId="36694"/>
    <cellStyle name="Note 4 3 5" xfId="9038"/>
    <cellStyle name="Note 4 3 5 2" xfId="9039"/>
    <cellStyle name="Note 4 3 5 3" xfId="9040"/>
    <cellStyle name="Note 4 3 5 4" xfId="9041"/>
    <cellStyle name="Note 4 3 5 5" xfId="9042"/>
    <cellStyle name="Note 4 3 5 6" xfId="36695"/>
    <cellStyle name="Note 4 3 5 7" xfId="36696"/>
    <cellStyle name="Note 4 3 5 8" xfId="36697"/>
    <cellStyle name="Note 4 3 6" xfId="9043"/>
    <cellStyle name="Note 4 3 6 2" xfId="9044"/>
    <cellStyle name="Note 4 3 6 3" xfId="9045"/>
    <cellStyle name="Note 4 3 6 4" xfId="9046"/>
    <cellStyle name="Note 4 3 6 5" xfId="9047"/>
    <cellStyle name="Note 4 3 6 6" xfId="36698"/>
    <cellStyle name="Note 4 3 6 7" xfId="36699"/>
    <cellStyle name="Note 4 3 6 8" xfId="36700"/>
    <cellStyle name="Note 4 3 7" xfId="9048"/>
    <cellStyle name="Note 4 3 8" xfId="9049"/>
    <cellStyle name="Note 4 3 9" xfId="9050"/>
    <cellStyle name="Note 4 4" xfId="9051"/>
    <cellStyle name="Note 4 4 10" xfId="9052"/>
    <cellStyle name="Note 4 4 11" xfId="36701"/>
    <cellStyle name="Note 4 4 12" xfId="36702"/>
    <cellStyle name="Note 4 4 13" xfId="36703"/>
    <cellStyle name="Note 4 4 2" xfId="9053"/>
    <cellStyle name="Note 4 4 2 2" xfId="9054"/>
    <cellStyle name="Note 4 4 2 3" xfId="9055"/>
    <cellStyle name="Note 4 4 2 4" xfId="9056"/>
    <cellStyle name="Note 4 4 2 5" xfId="9057"/>
    <cellStyle name="Note 4 4 2 6" xfId="36704"/>
    <cellStyle name="Note 4 4 2 7" xfId="36705"/>
    <cellStyle name="Note 4 4 2 8" xfId="36706"/>
    <cellStyle name="Note 4 4 3" xfId="9058"/>
    <cellStyle name="Note 4 4 3 2" xfId="9059"/>
    <cellStyle name="Note 4 4 3 3" xfId="9060"/>
    <cellStyle name="Note 4 4 3 4" xfId="9061"/>
    <cellStyle name="Note 4 4 3 5" xfId="9062"/>
    <cellStyle name="Note 4 4 3 6" xfId="36707"/>
    <cellStyle name="Note 4 4 3 7" xfId="36708"/>
    <cellStyle name="Note 4 4 3 8" xfId="36709"/>
    <cellStyle name="Note 4 4 4" xfId="9063"/>
    <cellStyle name="Note 4 4 4 2" xfId="9064"/>
    <cellStyle name="Note 4 4 4 3" xfId="9065"/>
    <cellStyle name="Note 4 4 4 4" xfId="9066"/>
    <cellStyle name="Note 4 4 4 5" xfId="9067"/>
    <cellStyle name="Note 4 4 4 6" xfId="36710"/>
    <cellStyle name="Note 4 4 4 7" xfId="36711"/>
    <cellStyle name="Note 4 4 4 8" xfId="36712"/>
    <cellStyle name="Note 4 4 5" xfId="9068"/>
    <cellStyle name="Note 4 4 5 2" xfId="9069"/>
    <cellStyle name="Note 4 4 5 3" xfId="9070"/>
    <cellStyle name="Note 4 4 5 4" xfId="9071"/>
    <cellStyle name="Note 4 4 5 5" xfId="9072"/>
    <cellStyle name="Note 4 4 5 6" xfId="36713"/>
    <cellStyle name="Note 4 4 5 7" xfId="36714"/>
    <cellStyle name="Note 4 4 5 8" xfId="36715"/>
    <cellStyle name="Note 4 4 6" xfId="9073"/>
    <cellStyle name="Note 4 4 6 2" xfId="9074"/>
    <cellStyle name="Note 4 4 6 3" xfId="9075"/>
    <cellStyle name="Note 4 4 6 4" xfId="9076"/>
    <cellStyle name="Note 4 4 6 5" xfId="9077"/>
    <cellStyle name="Note 4 4 6 6" xfId="36716"/>
    <cellStyle name="Note 4 4 6 7" xfId="36717"/>
    <cellStyle name="Note 4 4 6 8" xfId="36718"/>
    <cellStyle name="Note 4 4 7" xfId="9078"/>
    <cellStyle name="Note 4 4 8" xfId="9079"/>
    <cellStyle name="Note 4 4 9" xfId="9080"/>
    <cellStyle name="Note 4 5" xfId="9081"/>
    <cellStyle name="Note 4 5 10" xfId="9082"/>
    <cellStyle name="Note 4 5 11" xfId="36719"/>
    <cellStyle name="Note 4 5 12" xfId="36720"/>
    <cellStyle name="Note 4 5 13" xfId="36721"/>
    <cellStyle name="Note 4 5 2" xfId="9083"/>
    <cellStyle name="Note 4 5 2 2" xfId="9084"/>
    <cellStyle name="Note 4 5 2 3" xfId="9085"/>
    <cellStyle name="Note 4 5 2 4" xfId="9086"/>
    <cellStyle name="Note 4 5 2 5" xfId="9087"/>
    <cellStyle name="Note 4 5 2 6" xfId="36722"/>
    <cellStyle name="Note 4 5 2 7" xfId="36723"/>
    <cellStyle name="Note 4 5 2 8" xfId="36724"/>
    <cellStyle name="Note 4 5 3" xfId="9088"/>
    <cellStyle name="Note 4 5 3 2" xfId="9089"/>
    <cellStyle name="Note 4 5 3 3" xfId="9090"/>
    <cellStyle name="Note 4 5 3 4" xfId="9091"/>
    <cellStyle name="Note 4 5 3 5" xfId="9092"/>
    <cellStyle name="Note 4 5 3 6" xfId="36725"/>
    <cellStyle name="Note 4 5 3 7" xfId="36726"/>
    <cellStyle name="Note 4 5 3 8" xfId="36727"/>
    <cellStyle name="Note 4 5 4" xfId="9093"/>
    <cellStyle name="Note 4 5 4 2" xfId="9094"/>
    <cellStyle name="Note 4 5 4 3" xfId="9095"/>
    <cellStyle name="Note 4 5 4 4" xfId="9096"/>
    <cellStyle name="Note 4 5 4 5" xfId="9097"/>
    <cellStyle name="Note 4 5 4 6" xfId="36728"/>
    <cellStyle name="Note 4 5 4 7" xfId="36729"/>
    <cellStyle name="Note 4 5 4 8" xfId="36730"/>
    <cellStyle name="Note 4 5 5" xfId="9098"/>
    <cellStyle name="Note 4 5 5 2" xfId="9099"/>
    <cellStyle name="Note 4 5 5 3" xfId="9100"/>
    <cellStyle name="Note 4 5 5 4" xfId="9101"/>
    <cellStyle name="Note 4 5 5 5" xfId="9102"/>
    <cellStyle name="Note 4 5 5 6" xfId="36731"/>
    <cellStyle name="Note 4 5 5 7" xfId="36732"/>
    <cellStyle name="Note 4 5 5 8" xfId="36733"/>
    <cellStyle name="Note 4 5 6" xfId="9103"/>
    <cellStyle name="Note 4 5 6 2" xfId="9104"/>
    <cellStyle name="Note 4 5 6 3" xfId="9105"/>
    <cellStyle name="Note 4 5 6 4" xfId="9106"/>
    <cellStyle name="Note 4 5 6 5" xfId="9107"/>
    <cellStyle name="Note 4 5 6 6" xfId="36734"/>
    <cellStyle name="Note 4 5 6 7" xfId="36735"/>
    <cellStyle name="Note 4 5 6 8" xfId="36736"/>
    <cellStyle name="Note 4 5 7" xfId="9108"/>
    <cellStyle name="Note 4 5 8" xfId="9109"/>
    <cellStyle name="Note 4 5 9" xfId="9110"/>
    <cellStyle name="Note 4 6" xfId="9111"/>
    <cellStyle name="Note 4 6 10" xfId="9112"/>
    <cellStyle name="Note 4 6 11" xfId="36737"/>
    <cellStyle name="Note 4 6 12" xfId="36738"/>
    <cellStyle name="Note 4 6 13" xfId="36739"/>
    <cellStyle name="Note 4 6 2" xfId="9113"/>
    <cellStyle name="Note 4 6 2 2" xfId="9114"/>
    <cellStyle name="Note 4 6 2 3" xfId="9115"/>
    <cellStyle name="Note 4 6 2 4" xfId="9116"/>
    <cellStyle name="Note 4 6 2 5" xfId="9117"/>
    <cellStyle name="Note 4 6 2 6" xfId="36740"/>
    <cellStyle name="Note 4 6 2 7" xfId="36741"/>
    <cellStyle name="Note 4 6 2 8" xfId="36742"/>
    <cellStyle name="Note 4 6 3" xfId="9118"/>
    <cellStyle name="Note 4 6 3 2" xfId="9119"/>
    <cellStyle name="Note 4 6 3 3" xfId="9120"/>
    <cellStyle name="Note 4 6 3 4" xfId="9121"/>
    <cellStyle name="Note 4 6 3 5" xfId="9122"/>
    <cellStyle name="Note 4 6 3 6" xfId="36743"/>
    <cellStyle name="Note 4 6 3 7" xfId="36744"/>
    <cellStyle name="Note 4 6 3 8" xfId="36745"/>
    <cellStyle name="Note 4 6 4" xfId="9123"/>
    <cellStyle name="Note 4 6 4 2" xfId="9124"/>
    <cellStyle name="Note 4 6 4 3" xfId="9125"/>
    <cellStyle name="Note 4 6 4 4" xfId="9126"/>
    <cellStyle name="Note 4 6 4 5" xfId="9127"/>
    <cellStyle name="Note 4 6 4 6" xfId="36746"/>
    <cellStyle name="Note 4 6 4 7" xfId="36747"/>
    <cellStyle name="Note 4 6 4 8" xfId="36748"/>
    <cellStyle name="Note 4 6 5" xfId="9128"/>
    <cellStyle name="Note 4 6 5 2" xfId="9129"/>
    <cellStyle name="Note 4 6 5 3" xfId="9130"/>
    <cellStyle name="Note 4 6 5 4" xfId="9131"/>
    <cellStyle name="Note 4 6 5 5" xfId="9132"/>
    <cellStyle name="Note 4 6 5 6" xfId="36749"/>
    <cellStyle name="Note 4 6 5 7" xfId="36750"/>
    <cellStyle name="Note 4 6 5 8" xfId="36751"/>
    <cellStyle name="Note 4 6 6" xfId="9133"/>
    <cellStyle name="Note 4 6 6 2" xfId="9134"/>
    <cellStyle name="Note 4 6 6 3" xfId="9135"/>
    <cellStyle name="Note 4 6 6 4" xfId="9136"/>
    <cellStyle name="Note 4 6 6 5" xfId="9137"/>
    <cellStyle name="Note 4 6 6 6" xfId="36752"/>
    <cellStyle name="Note 4 6 6 7" xfId="36753"/>
    <cellStyle name="Note 4 6 6 8" xfId="36754"/>
    <cellStyle name="Note 4 6 7" xfId="9138"/>
    <cellStyle name="Note 4 6 8" xfId="9139"/>
    <cellStyle name="Note 4 6 9" xfId="9140"/>
    <cellStyle name="Note 4 7" xfId="9141"/>
    <cellStyle name="Note 4 7 10" xfId="9142"/>
    <cellStyle name="Note 4 7 11" xfId="36755"/>
    <cellStyle name="Note 4 7 12" xfId="36756"/>
    <cellStyle name="Note 4 7 13" xfId="36757"/>
    <cellStyle name="Note 4 7 2" xfId="9143"/>
    <cellStyle name="Note 4 7 2 2" xfId="9144"/>
    <cellStyle name="Note 4 7 2 3" xfId="9145"/>
    <cellStyle name="Note 4 7 2 4" xfId="9146"/>
    <cellStyle name="Note 4 7 2 5" xfId="9147"/>
    <cellStyle name="Note 4 7 2 6" xfId="36758"/>
    <cellStyle name="Note 4 7 2 7" xfId="36759"/>
    <cellStyle name="Note 4 7 2 8" xfId="36760"/>
    <cellStyle name="Note 4 7 3" xfId="9148"/>
    <cellStyle name="Note 4 7 3 2" xfId="9149"/>
    <cellStyle name="Note 4 7 3 3" xfId="9150"/>
    <cellStyle name="Note 4 7 3 4" xfId="9151"/>
    <cellStyle name="Note 4 7 3 5" xfId="9152"/>
    <cellStyle name="Note 4 7 3 6" xfId="36761"/>
    <cellStyle name="Note 4 7 3 7" xfId="36762"/>
    <cellStyle name="Note 4 7 3 8" xfId="36763"/>
    <cellStyle name="Note 4 7 4" xfId="9153"/>
    <cellStyle name="Note 4 7 4 2" xfId="9154"/>
    <cellStyle name="Note 4 7 4 3" xfId="9155"/>
    <cellStyle name="Note 4 7 4 4" xfId="9156"/>
    <cellStyle name="Note 4 7 4 5" xfId="9157"/>
    <cellStyle name="Note 4 7 4 6" xfId="36764"/>
    <cellStyle name="Note 4 7 4 7" xfId="36765"/>
    <cellStyle name="Note 4 7 4 8" xfId="36766"/>
    <cellStyle name="Note 4 7 5" xfId="9158"/>
    <cellStyle name="Note 4 7 5 2" xfId="9159"/>
    <cellStyle name="Note 4 7 5 3" xfId="9160"/>
    <cellStyle name="Note 4 7 5 4" xfId="9161"/>
    <cellStyle name="Note 4 7 5 5" xfId="9162"/>
    <cellStyle name="Note 4 7 5 6" xfId="36767"/>
    <cellStyle name="Note 4 7 5 7" xfId="36768"/>
    <cellStyle name="Note 4 7 5 8" xfId="36769"/>
    <cellStyle name="Note 4 7 6" xfId="9163"/>
    <cellStyle name="Note 4 7 6 2" xfId="9164"/>
    <cellStyle name="Note 4 7 6 3" xfId="9165"/>
    <cellStyle name="Note 4 7 6 4" xfId="9166"/>
    <cellStyle name="Note 4 7 6 5" xfId="9167"/>
    <cellStyle name="Note 4 7 6 6" xfId="36770"/>
    <cellStyle name="Note 4 7 6 7" xfId="36771"/>
    <cellStyle name="Note 4 7 6 8" xfId="36772"/>
    <cellStyle name="Note 4 7 7" xfId="9168"/>
    <cellStyle name="Note 4 7 8" xfId="9169"/>
    <cellStyle name="Note 4 7 9" xfId="9170"/>
    <cellStyle name="Note 4 8" xfId="9171"/>
    <cellStyle name="Note 4 8 10" xfId="9172"/>
    <cellStyle name="Note 4 8 11" xfId="36773"/>
    <cellStyle name="Note 4 8 12" xfId="36774"/>
    <cellStyle name="Note 4 8 13" xfId="36775"/>
    <cellStyle name="Note 4 8 2" xfId="9173"/>
    <cellStyle name="Note 4 8 2 2" xfId="9174"/>
    <cellStyle name="Note 4 8 2 3" xfId="9175"/>
    <cellStyle name="Note 4 8 2 4" xfId="9176"/>
    <cellStyle name="Note 4 8 2 5" xfId="9177"/>
    <cellStyle name="Note 4 8 2 6" xfId="36776"/>
    <cellStyle name="Note 4 8 2 7" xfId="36777"/>
    <cellStyle name="Note 4 8 2 8" xfId="36778"/>
    <cellStyle name="Note 4 8 3" xfId="9178"/>
    <cellStyle name="Note 4 8 3 2" xfId="9179"/>
    <cellStyle name="Note 4 8 3 3" xfId="9180"/>
    <cellStyle name="Note 4 8 3 4" xfId="9181"/>
    <cellStyle name="Note 4 8 3 5" xfId="9182"/>
    <cellStyle name="Note 4 8 3 6" xfId="36779"/>
    <cellStyle name="Note 4 8 3 7" xfId="36780"/>
    <cellStyle name="Note 4 8 3 8" xfId="36781"/>
    <cellStyle name="Note 4 8 4" xfId="9183"/>
    <cellStyle name="Note 4 8 4 2" xfId="9184"/>
    <cellStyle name="Note 4 8 4 3" xfId="9185"/>
    <cellStyle name="Note 4 8 4 4" xfId="9186"/>
    <cellStyle name="Note 4 8 4 5" xfId="9187"/>
    <cellStyle name="Note 4 8 4 6" xfId="36782"/>
    <cellStyle name="Note 4 8 4 7" xfId="36783"/>
    <cellStyle name="Note 4 8 4 8" xfId="36784"/>
    <cellStyle name="Note 4 8 5" xfId="9188"/>
    <cellStyle name="Note 4 8 5 2" xfId="9189"/>
    <cellStyle name="Note 4 8 5 3" xfId="9190"/>
    <cellStyle name="Note 4 8 5 4" xfId="9191"/>
    <cellStyle name="Note 4 8 5 5" xfId="9192"/>
    <cellStyle name="Note 4 8 5 6" xfId="36785"/>
    <cellStyle name="Note 4 8 5 7" xfId="36786"/>
    <cellStyle name="Note 4 8 5 8" xfId="36787"/>
    <cellStyle name="Note 4 8 6" xfId="9193"/>
    <cellStyle name="Note 4 8 6 2" xfId="9194"/>
    <cellStyle name="Note 4 8 6 3" xfId="9195"/>
    <cellStyle name="Note 4 8 6 4" xfId="9196"/>
    <cellStyle name="Note 4 8 6 5" xfId="9197"/>
    <cellStyle name="Note 4 8 6 6" xfId="36788"/>
    <cellStyle name="Note 4 8 6 7" xfId="36789"/>
    <cellStyle name="Note 4 8 6 8" xfId="36790"/>
    <cellStyle name="Note 4 8 7" xfId="9198"/>
    <cellStyle name="Note 4 8 8" xfId="9199"/>
    <cellStyle name="Note 4 8 9" xfId="9200"/>
    <cellStyle name="Note 4 9" xfId="9201"/>
    <cellStyle name="Note 4 9 10" xfId="9202"/>
    <cellStyle name="Note 4 9 11" xfId="36791"/>
    <cellStyle name="Note 4 9 12" xfId="36792"/>
    <cellStyle name="Note 4 9 13" xfId="36793"/>
    <cellStyle name="Note 4 9 2" xfId="9203"/>
    <cellStyle name="Note 4 9 2 2" xfId="9204"/>
    <cellStyle name="Note 4 9 2 3" xfId="9205"/>
    <cellStyle name="Note 4 9 2 4" xfId="9206"/>
    <cellStyle name="Note 4 9 2 5" xfId="9207"/>
    <cellStyle name="Note 4 9 2 6" xfId="36794"/>
    <cellStyle name="Note 4 9 2 7" xfId="36795"/>
    <cellStyle name="Note 4 9 2 8" xfId="36796"/>
    <cellStyle name="Note 4 9 3" xfId="9208"/>
    <cellStyle name="Note 4 9 3 2" xfId="9209"/>
    <cellStyle name="Note 4 9 3 3" xfId="9210"/>
    <cellStyle name="Note 4 9 3 4" xfId="9211"/>
    <cellStyle name="Note 4 9 3 5" xfId="9212"/>
    <cellStyle name="Note 4 9 3 6" xfId="36797"/>
    <cellStyle name="Note 4 9 3 7" xfId="36798"/>
    <cellStyle name="Note 4 9 3 8" xfId="36799"/>
    <cellStyle name="Note 4 9 4" xfId="9213"/>
    <cellStyle name="Note 4 9 4 2" xfId="9214"/>
    <cellStyle name="Note 4 9 4 3" xfId="9215"/>
    <cellStyle name="Note 4 9 4 4" xfId="9216"/>
    <cellStyle name="Note 4 9 4 5" xfId="9217"/>
    <cellStyle name="Note 4 9 4 6" xfId="36800"/>
    <cellStyle name="Note 4 9 4 7" xfId="36801"/>
    <cellStyle name="Note 4 9 4 8" xfId="36802"/>
    <cellStyle name="Note 4 9 5" xfId="9218"/>
    <cellStyle name="Note 4 9 5 2" xfId="9219"/>
    <cellStyle name="Note 4 9 5 3" xfId="9220"/>
    <cellStyle name="Note 4 9 5 4" xfId="9221"/>
    <cellStyle name="Note 4 9 5 5" xfId="9222"/>
    <cellStyle name="Note 4 9 5 6" xfId="36803"/>
    <cellStyle name="Note 4 9 5 7" xfId="36804"/>
    <cellStyle name="Note 4 9 5 8" xfId="36805"/>
    <cellStyle name="Note 4 9 6" xfId="9223"/>
    <cellStyle name="Note 4 9 6 2" xfId="9224"/>
    <cellStyle name="Note 4 9 6 3" xfId="9225"/>
    <cellStyle name="Note 4 9 6 4" xfId="9226"/>
    <cellStyle name="Note 4 9 6 5" xfId="9227"/>
    <cellStyle name="Note 4 9 6 6" xfId="36806"/>
    <cellStyle name="Note 4 9 6 7" xfId="36807"/>
    <cellStyle name="Note 4 9 6 8" xfId="36808"/>
    <cellStyle name="Note 4 9 7" xfId="9228"/>
    <cellStyle name="Note 4 9 8" xfId="9229"/>
    <cellStyle name="Note 4 9 9" xfId="9230"/>
    <cellStyle name="Note 40" xfId="9231"/>
    <cellStyle name="Note 40 10" xfId="9232"/>
    <cellStyle name="Note 40 11" xfId="9233"/>
    <cellStyle name="Note 40 12" xfId="9234"/>
    <cellStyle name="Note 40 13" xfId="36809"/>
    <cellStyle name="Note 40 14" xfId="36810"/>
    <cellStyle name="Note 40 15" xfId="36811"/>
    <cellStyle name="Note 40 2" xfId="9235"/>
    <cellStyle name="Note 40 2 10" xfId="9236"/>
    <cellStyle name="Note 40 2 11" xfId="36812"/>
    <cellStyle name="Note 40 2 12" xfId="36813"/>
    <cellStyle name="Note 40 2 13" xfId="36814"/>
    <cellStyle name="Note 40 2 2" xfId="9237"/>
    <cellStyle name="Note 40 2 2 2" xfId="9238"/>
    <cellStyle name="Note 40 2 2 3" xfId="9239"/>
    <cellStyle name="Note 40 2 2 4" xfId="9240"/>
    <cellStyle name="Note 40 2 2 5" xfId="9241"/>
    <cellStyle name="Note 40 2 2 6" xfId="36815"/>
    <cellStyle name="Note 40 2 2 7" xfId="36816"/>
    <cellStyle name="Note 40 2 2 8" xfId="36817"/>
    <cellStyle name="Note 40 2 3" xfId="9242"/>
    <cellStyle name="Note 40 2 3 2" xfId="9243"/>
    <cellStyle name="Note 40 2 3 3" xfId="9244"/>
    <cellStyle name="Note 40 2 3 4" xfId="9245"/>
    <cellStyle name="Note 40 2 3 5" xfId="9246"/>
    <cellStyle name="Note 40 2 3 6" xfId="36818"/>
    <cellStyle name="Note 40 2 3 7" xfId="36819"/>
    <cellStyle name="Note 40 2 3 8" xfId="36820"/>
    <cellStyle name="Note 40 2 4" xfId="9247"/>
    <cellStyle name="Note 40 2 4 2" xfId="9248"/>
    <cellStyle name="Note 40 2 4 3" xfId="9249"/>
    <cellStyle name="Note 40 2 4 4" xfId="9250"/>
    <cellStyle name="Note 40 2 4 5" xfId="9251"/>
    <cellStyle name="Note 40 2 4 6" xfId="36821"/>
    <cellStyle name="Note 40 2 4 7" xfId="36822"/>
    <cellStyle name="Note 40 2 4 8" xfId="36823"/>
    <cellStyle name="Note 40 2 5" xfId="9252"/>
    <cellStyle name="Note 40 2 5 2" xfId="9253"/>
    <cellStyle name="Note 40 2 5 3" xfId="9254"/>
    <cellStyle name="Note 40 2 5 4" xfId="9255"/>
    <cellStyle name="Note 40 2 5 5" xfId="9256"/>
    <cellStyle name="Note 40 2 5 6" xfId="36824"/>
    <cellStyle name="Note 40 2 5 7" xfId="36825"/>
    <cellStyle name="Note 40 2 5 8" xfId="36826"/>
    <cellStyle name="Note 40 2 6" xfId="9257"/>
    <cellStyle name="Note 40 2 6 2" xfId="9258"/>
    <cellStyle name="Note 40 2 6 3" xfId="9259"/>
    <cellStyle name="Note 40 2 6 4" xfId="9260"/>
    <cellStyle name="Note 40 2 6 5" xfId="9261"/>
    <cellStyle name="Note 40 2 6 6" xfId="36827"/>
    <cellStyle name="Note 40 2 6 7" xfId="36828"/>
    <cellStyle name="Note 40 2 6 8" xfId="36829"/>
    <cellStyle name="Note 40 2 7" xfId="9262"/>
    <cellStyle name="Note 40 2 8" xfId="9263"/>
    <cellStyle name="Note 40 2 9" xfId="9264"/>
    <cellStyle name="Note 40 3" xfId="9265"/>
    <cellStyle name="Note 40 3 10" xfId="9266"/>
    <cellStyle name="Note 40 3 11" xfId="36830"/>
    <cellStyle name="Note 40 3 12" xfId="36831"/>
    <cellStyle name="Note 40 3 13" xfId="36832"/>
    <cellStyle name="Note 40 3 2" xfId="9267"/>
    <cellStyle name="Note 40 3 2 2" xfId="9268"/>
    <cellStyle name="Note 40 3 2 3" xfId="9269"/>
    <cellStyle name="Note 40 3 2 4" xfId="9270"/>
    <cellStyle name="Note 40 3 2 5" xfId="9271"/>
    <cellStyle name="Note 40 3 2 6" xfId="36833"/>
    <cellStyle name="Note 40 3 2 7" xfId="36834"/>
    <cellStyle name="Note 40 3 2 8" xfId="36835"/>
    <cellStyle name="Note 40 3 3" xfId="9272"/>
    <cellStyle name="Note 40 3 3 2" xfId="9273"/>
    <cellStyle name="Note 40 3 3 3" xfId="9274"/>
    <cellStyle name="Note 40 3 3 4" xfId="9275"/>
    <cellStyle name="Note 40 3 3 5" xfId="9276"/>
    <cellStyle name="Note 40 3 3 6" xfId="36836"/>
    <cellStyle name="Note 40 3 3 7" xfId="36837"/>
    <cellStyle name="Note 40 3 3 8" xfId="36838"/>
    <cellStyle name="Note 40 3 4" xfId="9277"/>
    <cellStyle name="Note 40 3 4 2" xfId="9278"/>
    <cellStyle name="Note 40 3 4 3" xfId="9279"/>
    <cellStyle name="Note 40 3 4 4" xfId="9280"/>
    <cellStyle name="Note 40 3 4 5" xfId="9281"/>
    <cellStyle name="Note 40 3 4 6" xfId="36839"/>
    <cellStyle name="Note 40 3 4 7" xfId="36840"/>
    <cellStyle name="Note 40 3 4 8" xfId="36841"/>
    <cellStyle name="Note 40 3 5" xfId="9282"/>
    <cellStyle name="Note 40 3 5 2" xfId="9283"/>
    <cellStyle name="Note 40 3 5 3" xfId="9284"/>
    <cellStyle name="Note 40 3 5 4" xfId="9285"/>
    <cellStyle name="Note 40 3 5 5" xfId="9286"/>
    <cellStyle name="Note 40 3 5 6" xfId="36842"/>
    <cellStyle name="Note 40 3 5 7" xfId="36843"/>
    <cellStyle name="Note 40 3 5 8" xfId="36844"/>
    <cellStyle name="Note 40 3 6" xfId="9287"/>
    <cellStyle name="Note 40 3 6 2" xfId="9288"/>
    <cellStyle name="Note 40 3 6 3" xfId="9289"/>
    <cellStyle name="Note 40 3 6 4" xfId="9290"/>
    <cellStyle name="Note 40 3 6 5" xfId="9291"/>
    <cellStyle name="Note 40 3 6 6" xfId="36845"/>
    <cellStyle name="Note 40 3 6 7" xfId="36846"/>
    <cellStyle name="Note 40 3 6 8" xfId="36847"/>
    <cellStyle name="Note 40 3 7" xfId="9292"/>
    <cellStyle name="Note 40 3 8" xfId="9293"/>
    <cellStyle name="Note 40 3 9" xfId="9294"/>
    <cellStyle name="Note 40 4" xfId="9295"/>
    <cellStyle name="Note 40 4 2" xfId="9296"/>
    <cellStyle name="Note 40 4 3" xfId="9297"/>
    <cellStyle name="Note 40 4 4" xfId="9298"/>
    <cellStyle name="Note 40 4 5" xfId="9299"/>
    <cellStyle name="Note 40 4 6" xfId="36848"/>
    <cellStyle name="Note 40 4 7" xfId="36849"/>
    <cellStyle name="Note 40 4 8" xfId="36850"/>
    <cellStyle name="Note 40 5" xfId="9300"/>
    <cellStyle name="Note 40 5 2" xfId="9301"/>
    <cellStyle name="Note 40 5 3" xfId="9302"/>
    <cellStyle name="Note 40 5 4" xfId="9303"/>
    <cellStyle name="Note 40 5 5" xfId="9304"/>
    <cellStyle name="Note 40 5 6" xfId="36851"/>
    <cellStyle name="Note 40 5 7" xfId="36852"/>
    <cellStyle name="Note 40 5 8" xfId="36853"/>
    <cellStyle name="Note 40 6" xfId="9305"/>
    <cellStyle name="Note 40 6 2" xfId="9306"/>
    <cellStyle name="Note 40 6 3" xfId="9307"/>
    <cellStyle name="Note 40 6 4" xfId="9308"/>
    <cellStyle name="Note 40 6 5" xfId="9309"/>
    <cellStyle name="Note 40 6 6" xfId="36854"/>
    <cellStyle name="Note 40 6 7" xfId="36855"/>
    <cellStyle name="Note 40 6 8" xfId="36856"/>
    <cellStyle name="Note 40 7" xfId="9310"/>
    <cellStyle name="Note 40 7 2" xfId="9311"/>
    <cellStyle name="Note 40 7 3" xfId="9312"/>
    <cellStyle name="Note 40 7 4" xfId="9313"/>
    <cellStyle name="Note 40 7 5" xfId="9314"/>
    <cellStyle name="Note 40 7 6" xfId="36857"/>
    <cellStyle name="Note 40 7 7" xfId="36858"/>
    <cellStyle name="Note 40 7 8" xfId="36859"/>
    <cellStyle name="Note 40 8" xfId="9315"/>
    <cellStyle name="Note 40 8 2" xfId="9316"/>
    <cellStyle name="Note 40 8 3" xfId="9317"/>
    <cellStyle name="Note 40 8 4" xfId="9318"/>
    <cellStyle name="Note 40 8 5" xfId="9319"/>
    <cellStyle name="Note 40 8 6" xfId="36860"/>
    <cellStyle name="Note 40 8 7" xfId="36861"/>
    <cellStyle name="Note 40 8 8" xfId="36862"/>
    <cellStyle name="Note 40 9" xfId="9320"/>
    <cellStyle name="Note 41" xfId="9321"/>
    <cellStyle name="Note 41 10" xfId="9322"/>
    <cellStyle name="Note 41 11" xfId="9323"/>
    <cellStyle name="Note 41 12" xfId="9324"/>
    <cellStyle name="Note 41 13" xfId="36863"/>
    <cellStyle name="Note 41 14" xfId="36864"/>
    <cellStyle name="Note 41 15" xfId="36865"/>
    <cellStyle name="Note 41 2" xfId="9325"/>
    <cellStyle name="Note 41 2 10" xfId="9326"/>
    <cellStyle name="Note 41 2 11" xfId="36866"/>
    <cellStyle name="Note 41 2 12" xfId="36867"/>
    <cellStyle name="Note 41 2 13" xfId="36868"/>
    <cellStyle name="Note 41 2 2" xfId="9327"/>
    <cellStyle name="Note 41 2 2 2" xfId="9328"/>
    <cellStyle name="Note 41 2 2 3" xfId="9329"/>
    <cellStyle name="Note 41 2 2 4" xfId="9330"/>
    <cellStyle name="Note 41 2 2 5" xfId="9331"/>
    <cellStyle name="Note 41 2 2 6" xfId="36869"/>
    <cellStyle name="Note 41 2 2 7" xfId="36870"/>
    <cellStyle name="Note 41 2 2 8" xfId="36871"/>
    <cellStyle name="Note 41 2 3" xfId="9332"/>
    <cellStyle name="Note 41 2 3 2" xfId="9333"/>
    <cellStyle name="Note 41 2 3 3" xfId="9334"/>
    <cellStyle name="Note 41 2 3 4" xfId="9335"/>
    <cellStyle name="Note 41 2 3 5" xfId="9336"/>
    <cellStyle name="Note 41 2 3 6" xfId="36872"/>
    <cellStyle name="Note 41 2 3 7" xfId="36873"/>
    <cellStyle name="Note 41 2 3 8" xfId="36874"/>
    <cellStyle name="Note 41 2 4" xfId="9337"/>
    <cellStyle name="Note 41 2 4 2" xfId="9338"/>
    <cellStyle name="Note 41 2 4 3" xfId="9339"/>
    <cellStyle name="Note 41 2 4 4" xfId="9340"/>
    <cellStyle name="Note 41 2 4 5" xfId="9341"/>
    <cellStyle name="Note 41 2 4 6" xfId="36875"/>
    <cellStyle name="Note 41 2 4 7" xfId="36876"/>
    <cellStyle name="Note 41 2 4 8" xfId="36877"/>
    <cellStyle name="Note 41 2 5" xfId="9342"/>
    <cellStyle name="Note 41 2 5 2" xfId="9343"/>
    <cellStyle name="Note 41 2 5 3" xfId="9344"/>
    <cellStyle name="Note 41 2 5 4" xfId="9345"/>
    <cellStyle name="Note 41 2 5 5" xfId="9346"/>
    <cellStyle name="Note 41 2 5 6" xfId="36878"/>
    <cellStyle name="Note 41 2 5 7" xfId="36879"/>
    <cellStyle name="Note 41 2 5 8" xfId="36880"/>
    <cellStyle name="Note 41 2 6" xfId="9347"/>
    <cellStyle name="Note 41 2 6 2" xfId="9348"/>
    <cellStyle name="Note 41 2 6 3" xfId="9349"/>
    <cellStyle name="Note 41 2 6 4" xfId="9350"/>
    <cellStyle name="Note 41 2 6 5" xfId="9351"/>
    <cellStyle name="Note 41 2 6 6" xfId="36881"/>
    <cellStyle name="Note 41 2 6 7" xfId="36882"/>
    <cellStyle name="Note 41 2 6 8" xfId="36883"/>
    <cellStyle name="Note 41 2 7" xfId="9352"/>
    <cellStyle name="Note 41 2 8" xfId="9353"/>
    <cellStyle name="Note 41 2 9" xfId="9354"/>
    <cellStyle name="Note 41 3" xfId="9355"/>
    <cellStyle name="Note 41 3 10" xfId="9356"/>
    <cellStyle name="Note 41 3 11" xfId="36884"/>
    <cellStyle name="Note 41 3 12" xfId="36885"/>
    <cellStyle name="Note 41 3 13" xfId="36886"/>
    <cellStyle name="Note 41 3 2" xfId="9357"/>
    <cellStyle name="Note 41 3 2 2" xfId="9358"/>
    <cellStyle name="Note 41 3 2 3" xfId="9359"/>
    <cellStyle name="Note 41 3 2 4" xfId="9360"/>
    <cellStyle name="Note 41 3 2 5" xfId="9361"/>
    <cellStyle name="Note 41 3 2 6" xfId="36887"/>
    <cellStyle name="Note 41 3 2 7" xfId="36888"/>
    <cellStyle name="Note 41 3 2 8" xfId="36889"/>
    <cellStyle name="Note 41 3 3" xfId="9362"/>
    <cellStyle name="Note 41 3 3 2" xfId="9363"/>
    <cellStyle name="Note 41 3 3 3" xfId="9364"/>
    <cellStyle name="Note 41 3 3 4" xfId="9365"/>
    <cellStyle name="Note 41 3 3 5" xfId="9366"/>
    <cellStyle name="Note 41 3 3 6" xfId="36890"/>
    <cellStyle name="Note 41 3 3 7" xfId="36891"/>
    <cellStyle name="Note 41 3 3 8" xfId="36892"/>
    <cellStyle name="Note 41 3 4" xfId="9367"/>
    <cellStyle name="Note 41 3 4 2" xfId="9368"/>
    <cellStyle name="Note 41 3 4 3" xfId="9369"/>
    <cellStyle name="Note 41 3 4 4" xfId="9370"/>
    <cellStyle name="Note 41 3 4 5" xfId="9371"/>
    <cellStyle name="Note 41 3 4 6" xfId="36893"/>
    <cellStyle name="Note 41 3 4 7" xfId="36894"/>
    <cellStyle name="Note 41 3 4 8" xfId="36895"/>
    <cellStyle name="Note 41 3 5" xfId="9372"/>
    <cellStyle name="Note 41 3 5 2" xfId="9373"/>
    <cellStyle name="Note 41 3 5 3" xfId="9374"/>
    <cellStyle name="Note 41 3 5 4" xfId="9375"/>
    <cellStyle name="Note 41 3 5 5" xfId="9376"/>
    <cellStyle name="Note 41 3 5 6" xfId="36896"/>
    <cellStyle name="Note 41 3 5 7" xfId="36897"/>
    <cellStyle name="Note 41 3 5 8" xfId="36898"/>
    <cellStyle name="Note 41 3 6" xfId="9377"/>
    <cellStyle name="Note 41 3 6 2" xfId="9378"/>
    <cellStyle name="Note 41 3 6 3" xfId="9379"/>
    <cellStyle name="Note 41 3 6 4" xfId="9380"/>
    <cellStyle name="Note 41 3 6 5" xfId="9381"/>
    <cellStyle name="Note 41 3 6 6" xfId="36899"/>
    <cellStyle name="Note 41 3 6 7" xfId="36900"/>
    <cellStyle name="Note 41 3 6 8" xfId="36901"/>
    <cellStyle name="Note 41 3 7" xfId="9382"/>
    <cellStyle name="Note 41 3 8" xfId="9383"/>
    <cellStyle name="Note 41 3 9" xfId="9384"/>
    <cellStyle name="Note 41 4" xfId="9385"/>
    <cellStyle name="Note 41 4 2" xfId="9386"/>
    <cellStyle name="Note 41 4 3" xfId="9387"/>
    <cellStyle name="Note 41 4 4" xfId="9388"/>
    <cellStyle name="Note 41 4 5" xfId="9389"/>
    <cellStyle name="Note 41 4 6" xfId="36902"/>
    <cellStyle name="Note 41 4 7" xfId="36903"/>
    <cellStyle name="Note 41 4 8" xfId="36904"/>
    <cellStyle name="Note 41 5" xfId="9390"/>
    <cellStyle name="Note 41 5 2" xfId="9391"/>
    <cellStyle name="Note 41 5 3" xfId="9392"/>
    <cellStyle name="Note 41 5 4" xfId="9393"/>
    <cellStyle name="Note 41 5 5" xfId="9394"/>
    <cellStyle name="Note 41 5 6" xfId="36905"/>
    <cellStyle name="Note 41 5 7" xfId="36906"/>
    <cellStyle name="Note 41 5 8" xfId="36907"/>
    <cellStyle name="Note 41 6" xfId="9395"/>
    <cellStyle name="Note 41 6 2" xfId="9396"/>
    <cellStyle name="Note 41 6 3" xfId="9397"/>
    <cellStyle name="Note 41 6 4" xfId="9398"/>
    <cellStyle name="Note 41 6 5" xfId="9399"/>
    <cellStyle name="Note 41 6 6" xfId="36908"/>
    <cellStyle name="Note 41 6 7" xfId="36909"/>
    <cellStyle name="Note 41 6 8" xfId="36910"/>
    <cellStyle name="Note 41 7" xfId="9400"/>
    <cellStyle name="Note 41 7 2" xfId="9401"/>
    <cellStyle name="Note 41 7 3" xfId="9402"/>
    <cellStyle name="Note 41 7 4" xfId="9403"/>
    <cellStyle name="Note 41 7 5" xfId="9404"/>
    <cellStyle name="Note 41 7 6" xfId="36911"/>
    <cellStyle name="Note 41 7 7" xfId="36912"/>
    <cellStyle name="Note 41 7 8" xfId="36913"/>
    <cellStyle name="Note 41 8" xfId="9405"/>
    <cellStyle name="Note 41 8 2" xfId="9406"/>
    <cellStyle name="Note 41 8 3" xfId="9407"/>
    <cellStyle name="Note 41 8 4" xfId="9408"/>
    <cellStyle name="Note 41 8 5" xfId="9409"/>
    <cellStyle name="Note 41 8 6" xfId="36914"/>
    <cellStyle name="Note 41 8 7" xfId="36915"/>
    <cellStyle name="Note 41 8 8" xfId="36916"/>
    <cellStyle name="Note 41 9" xfId="9410"/>
    <cellStyle name="Note 42" xfId="9411"/>
    <cellStyle name="Note 42 10" xfId="9412"/>
    <cellStyle name="Note 42 11" xfId="9413"/>
    <cellStyle name="Note 42 12" xfId="9414"/>
    <cellStyle name="Note 42 13" xfId="36917"/>
    <cellStyle name="Note 42 14" xfId="36918"/>
    <cellStyle name="Note 42 15" xfId="36919"/>
    <cellStyle name="Note 42 2" xfId="9415"/>
    <cellStyle name="Note 42 2 10" xfId="9416"/>
    <cellStyle name="Note 42 2 11" xfId="36920"/>
    <cellStyle name="Note 42 2 12" xfId="36921"/>
    <cellStyle name="Note 42 2 13" xfId="36922"/>
    <cellStyle name="Note 42 2 2" xfId="9417"/>
    <cellStyle name="Note 42 2 2 2" xfId="9418"/>
    <cellStyle name="Note 42 2 2 3" xfId="9419"/>
    <cellStyle name="Note 42 2 2 4" xfId="9420"/>
    <cellStyle name="Note 42 2 2 5" xfId="9421"/>
    <cellStyle name="Note 42 2 2 6" xfId="36923"/>
    <cellStyle name="Note 42 2 2 7" xfId="36924"/>
    <cellStyle name="Note 42 2 2 8" xfId="36925"/>
    <cellStyle name="Note 42 2 3" xfId="9422"/>
    <cellStyle name="Note 42 2 3 2" xfId="9423"/>
    <cellStyle name="Note 42 2 3 3" xfId="9424"/>
    <cellStyle name="Note 42 2 3 4" xfId="9425"/>
    <cellStyle name="Note 42 2 3 5" xfId="9426"/>
    <cellStyle name="Note 42 2 3 6" xfId="36926"/>
    <cellStyle name="Note 42 2 3 7" xfId="36927"/>
    <cellStyle name="Note 42 2 3 8" xfId="36928"/>
    <cellStyle name="Note 42 2 4" xfId="9427"/>
    <cellStyle name="Note 42 2 4 2" xfId="9428"/>
    <cellStyle name="Note 42 2 4 3" xfId="9429"/>
    <cellStyle name="Note 42 2 4 4" xfId="9430"/>
    <cellStyle name="Note 42 2 4 5" xfId="9431"/>
    <cellStyle name="Note 42 2 4 6" xfId="36929"/>
    <cellStyle name="Note 42 2 4 7" xfId="36930"/>
    <cellStyle name="Note 42 2 4 8" xfId="36931"/>
    <cellStyle name="Note 42 2 5" xfId="9432"/>
    <cellStyle name="Note 42 2 5 2" xfId="9433"/>
    <cellStyle name="Note 42 2 5 3" xfId="9434"/>
    <cellStyle name="Note 42 2 5 4" xfId="9435"/>
    <cellStyle name="Note 42 2 5 5" xfId="9436"/>
    <cellStyle name="Note 42 2 5 6" xfId="36932"/>
    <cellStyle name="Note 42 2 5 7" xfId="36933"/>
    <cellStyle name="Note 42 2 5 8" xfId="36934"/>
    <cellStyle name="Note 42 2 6" xfId="9437"/>
    <cellStyle name="Note 42 2 6 2" xfId="9438"/>
    <cellStyle name="Note 42 2 6 3" xfId="9439"/>
    <cellStyle name="Note 42 2 6 4" xfId="9440"/>
    <cellStyle name="Note 42 2 6 5" xfId="9441"/>
    <cellStyle name="Note 42 2 6 6" xfId="36935"/>
    <cellStyle name="Note 42 2 6 7" xfId="36936"/>
    <cellStyle name="Note 42 2 6 8" xfId="36937"/>
    <cellStyle name="Note 42 2 7" xfId="9442"/>
    <cellStyle name="Note 42 2 8" xfId="9443"/>
    <cellStyle name="Note 42 2 9" xfId="9444"/>
    <cellStyle name="Note 42 3" xfId="9445"/>
    <cellStyle name="Note 42 3 10" xfId="9446"/>
    <cellStyle name="Note 42 3 11" xfId="36938"/>
    <cellStyle name="Note 42 3 12" xfId="36939"/>
    <cellStyle name="Note 42 3 13" xfId="36940"/>
    <cellStyle name="Note 42 3 2" xfId="9447"/>
    <cellStyle name="Note 42 3 2 2" xfId="9448"/>
    <cellStyle name="Note 42 3 2 3" xfId="9449"/>
    <cellStyle name="Note 42 3 2 4" xfId="9450"/>
    <cellStyle name="Note 42 3 2 5" xfId="9451"/>
    <cellStyle name="Note 42 3 2 6" xfId="36941"/>
    <cellStyle name="Note 42 3 2 7" xfId="36942"/>
    <cellStyle name="Note 42 3 2 8" xfId="36943"/>
    <cellStyle name="Note 42 3 3" xfId="9452"/>
    <cellStyle name="Note 42 3 3 2" xfId="9453"/>
    <cellStyle name="Note 42 3 3 3" xfId="9454"/>
    <cellStyle name="Note 42 3 3 4" xfId="9455"/>
    <cellStyle name="Note 42 3 3 5" xfId="9456"/>
    <cellStyle name="Note 42 3 3 6" xfId="36944"/>
    <cellStyle name="Note 42 3 3 7" xfId="36945"/>
    <cellStyle name="Note 42 3 3 8" xfId="36946"/>
    <cellStyle name="Note 42 3 4" xfId="9457"/>
    <cellStyle name="Note 42 3 4 2" xfId="9458"/>
    <cellStyle name="Note 42 3 4 3" xfId="9459"/>
    <cellStyle name="Note 42 3 4 4" xfId="9460"/>
    <cellStyle name="Note 42 3 4 5" xfId="9461"/>
    <cellStyle name="Note 42 3 4 6" xfId="36947"/>
    <cellStyle name="Note 42 3 4 7" xfId="36948"/>
    <cellStyle name="Note 42 3 4 8" xfId="36949"/>
    <cellStyle name="Note 42 3 5" xfId="9462"/>
    <cellStyle name="Note 42 3 5 2" xfId="9463"/>
    <cellStyle name="Note 42 3 5 3" xfId="9464"/>
    <cellStyle name="Note 42 3 5 4" xfId="9465"/>
    <cellStyle name="Note 42 3 5 5" xfId="9466"/>
    <cellStyle name="Note 42 3 5 6" xfId="36950"/>
    <cellStyle name="Note 42 3 5 7" xfId="36951"/>
    <cellStyle name="Note 42 3 5 8" xfId="36952"/>
    <cellStyle name="Note 42 3 6" xfId="9467"/>
    <cellStyle name="Note 42 3 6 2" xfId="9468"/>
    <cellStyle name="Note 42 3 6 3" xfId="9469"/>
    <cellStyle name="Note 42 3 6 4" xfId="9470"/>
    <cellStyle name="Note 42 3 6 5" xfId="9471"/>
    <cellStyle name="Note 42 3 6 6" xfId="36953"/>
    <cellStyle name="Note 42 3 6 7" xfId="36954"/>
    <cellStyle name="Note 42 3 6 8" xfId="36955"/>
    <cellStyle name="Note 42 3 7" xfId="9472"/>
    <cellStyle name="Note 42 3 8" xfId="9473"/>
    <cellStyle name="Note 42 3 9" xfId="9474"/>
    <cellStyle name="Note 42 4" xfId="9475"/>
    <cellStyle name="Note 42 4 2" xfId="9476"/>
    <cellStyle name="Note 42 4 3" xfId="9477"/>
    <cellStyle name="Note 42 4 4" xfId="9478"/>
    <cellStyle name="Note 42 4 5" xfId="9479"/>
    <cellStyle name="Note 42 4 6" xfId="36956"/>
    <cellStyle name="Note 42 4 7" xfId="36957"/>
    <cellStyle name="Note 42 4 8" xfId="36958"/>
    <cellStyle name="Note 42 5" xfId="9480"/>
    <cellStyle name="Note 42 5 2" xfId="9481"/>
    <cellStyle name="Note 42 5 3" xfId="9482"/>
    <cellStyle name="Note 42 5 4" xfId="9483"/>
    <cellStyle name="Note 42 5 5" xfId="9484"/>
    <cellStyle name="Note 42 5 6" xfId="36959"/>
    <cellStyle name="Note 42 5 7" xfId="36960"/>
    <cellStyle name="Note 42 5 8" xfId="36961"/>
    <cellStyle name="Note 42 6" xfId="9485"/>
    <cellStyle name="Note 42 6 2" xfId="9486"/>
    <cellStyle name="Note 42 6 3" xfId="9487"/>
    <cellStyle name="Note 42 6 4" xfId="9488"/>
    <cellStyle name="Note 42 6 5" xfId="9489"/>
    <cellStyle name="Note 42 6 6" xfId="36962"/>
    <cellStyle name="Note 42 6 7" xfId="36963"/>
    <cellStyle name="Note 42 6 8" xfId="36964"/>
    <cellStyle name="Note 42 7" xfId="9490"/>
    <cellStyle name="Note 42 7 2" xfId="9491"/>
    <cellStyle name="Note 42 7 3" xfId="9492"/>
    <cellStyle name="Note 42 7 4" xfId="9493"/>
    <cellStyle name="Note 42 7 5" xfId="9494"/>
    <cellStyle name="Note 42 7 6" xfId="36965"/>
    <cellStyle name="Note 42 7 7" xfId="36966"/>
    <cellStyle name="Note 42 7 8" xfId="36967"/>
    <cellStyle name="Note 42 8" xfId="9495"/>
    <cellStyle name="Note 42 8 2" xfId="9496"/>
    <cellStyle name="Note 42 8 3" xfId="9497"/>
    <cellStyle name="Note 42 8 4" xfId="9498"/>
    <cellStyle name="Note 42 8 5" xfId="9499"/>
    <cellStyle name="Note 42 8 6" xfId="36968"/>
    <cellStyle name="Note 42 8 7" xfId="36969"/>
    <cellStyle name="Note 42 8 8" xfId="36970"/>
    <cellStyle name="Note 42 9" xfId="9500"/>
    <cellStyle name="Note 43" xfId="9501"/>
    <cellStyle name="Note 43 10" xfId="9502"/>
    <cellStyle name="Note 43 11" xfId="9503"/>
    <cellStyle name="Note 43 12" xfId="9504"/>
    <cellStyle name="Note 43 13" xfId="36971"/>
    <cellStyle name="Note 43 14" xfId="36972"/>
    <cellStyle name="Note 43 15" xfId="36973"/>
    <cellStyle name="Note 43 2" xfId="9505"/>
    <cellStyle name="Note 43 2 10" xfId="9506"/>
    <cellStyle name="Note 43 2 11" xfId="36974"/>
    <cellStyle name="Note 43 2 12" xfId="36975"/>
    <cellStyle name="Note 43 2 13" xfId="36976"/>
    <cellStyle name="Note 43 2 2" xfId="9507"/>
    <cellStyle name="Note 43 2 2 2" xfId="9508"/>
    <cellStyle name="Note 43 2 2 3" xfId="9509"/>
    <cellStyle name="Note 43 2 2 4" xfId="9510"/>
    <cellStyle name="Note 43 2 2 5" xfId="9511"/>
    <cellStyle name="Note 43 2 2 6" xfId="36977"/>
    <cellStyle name="Note 43 2 2 7" xfId="36978"/>
    <cellStyle name="Note 43 2 2 8" xfId="36979"/>
    <cellStyle name="Note 43 2 3" xfId="9512"/>
    <cellStyle name="Note 43 2 3 2" xfId="9513"/>
    <cellStyle name="Note 43 2 3 3" xfId="9514"/>
    <cellStyle name="Note 43 2 3 4" xfId="9515"/>
    <cellStyle name="Note 43 2 3 5" xfId="9516"/>
    <cellStyle name="Note 43 2 3 6" xfId="36980"/>
    <cellStyle name="Note 43 2 3 7" xfId="36981"/>
    <cellStyle name="Note 43 2 3 8" xfId="36982"/>
    <cellStyle name="Note 43 2 4" xfId="9517"/>
    <cellStyle name="Note 43 2 4 2" xfId="9518"/>
    <cellStyle name="Note 43 2 4 3" xfId="9519"/>
    <cellStyle name="Note 43 2 4 4" xfId="9520"/>
    <cellStyle name="Note 43 2 4 5" xfId="9521"/>
    <cellStyle name="Note 43 2 4 6" xfId="36983"/>
    <cellStyle name="Note 43 2 4 7" xfId="36984"/>
    <cellStyle name="Note 43 2 4 8" xfId="36985"/>
    <cellStyle name="Note 43 2 5" xfId="9522"/>
    <cellStyle name="Note 43 2 5 2" xfId="9523"/>
    <cellStyle name="Note 43 2 5 3" xfId="9524"/>
    <cellStyle name="Note 43 2 5 4" xfId="9525"/>
    <cellStyle name="Note 43 2 5 5" xfId="9526"/>
    <cellStyle name="Note 43 2 5 6" xfId="36986"/>
    <cellStyle name="Note 43 2 5 7" xfId="36987"/>
    <cellStyle name="Note 43 2 5 8" xfId="36988"/>
    <cellStyle name="Note 43 2 6" xfId="9527"/>
    <cellStyle name="Note 43 2 6 2" xfId="9528"/>
    <cellStyle name="Note 43 2 6 3" xfId="9529"/>
    <cellStyle name="Note 43 2 6 4" xfId="9530"/>
    <cellStyle name="Note 43 2 6 5" xfId="9531"/>
    <cellStyle name="Note 43 2 6 6" xfId="36989"/>
    <cellStyle name="Note 43 2 6 7" xfId="36990"/>
    <cellStyle name="Note 43 2 6 8" xfId="36991"/>
    <cellStyle name="Note 43 2 7" xfId="9532"/>
    <cellStyle name="Note 43 2 8" xfId="9533"/>
    <cellStyle name="Note 43 2 9" xfId="9534"/>
    <cellStyle name="Note 43 3" xfId="9535"/>
    <cellStyle name="Note 43 3 10" xfId="9536"/>
    <cellStyle name="Note 43 3 11" xfId="36992"/>
    <cellStyle name="Note 43 3 12" xfId="36993"/>
    <cellStyle name="Note 43 3 13" xfId="36994"/>
    <cellStyle name="Note 43 3 2" xfId="9537"/>
    <cellStyle name="Note 43 3 2 2" xfId="9538"/>
    <cellStyle name="Note 43 3 2 3" xfId="9539"/>
    <cellStyle name="Note 43 3 2 4" xfId="9540"/>
    <cellStyle name="Note 43 3 2 5" xfId="9541"/>
    <cellStyle name="Note 43 3 2 6" xfId="36995"/>
    <cellStyle name="Note 43 3 2 7" xfId="36996"/>
    <cellStyle name="Note 43 3 2 8" xfId="36997"/>
    <cellStyle name="Note 43 3 3" xfId="9542"/>
    <cellStyle name="Note 43 3 3 2" xfId="9543"/>
    <cellStyle name="Note 43 3 3 3" xfId="9544"/>
    <cellStyle name="Note 43 3 3 4" xfId="9545"/>
    <cellStyle name="Note 43 3 3 5" xfId="9546"/>
    <cellStyle name="Note 43 3 3 6" xfId="36998"/>
    <cellStyle name="Note 43 3 3 7" xfId="36999"/>
    <cellStyle name="Note 43 3 3 8" xfId="37000"/>
    <cellStyle name="Note 43 3 4" xfId="9547"/>
    <cellStyle name="Note 43 3 4 2" xfId="9548"/>
    <cellStyle name="Note 43 3 4 3" xfId="9549"/>
    <cellStyle name="Note 43 3 4 4" xfId="9550"/>
    <cellStyle name="Note 43 3 4 5" xfId="9551"/>
    <cellStyle name="Note 43 3 4 6" xfId="37001"/>
    <cellStyle name="Note 43 3 4 7" xfId="37002"/>
    <cellStyle name="Note 43 3 4 8" xfId="37003"/>
    <cellStyle name="Note 43 3 5" xfId="9552"/>
    <cellStyle name="Note 43 3 5 2" xfId="9553"/>
    <cellStyle name="Note 43 3 5 3" xfId="9554"/>
    <cellStyle name="Note 43 3 5 4" xfId="9555"/>
    <cellStyle name="Note 43 3 5 5" xfId="9556"/>
    <cellStyle name="Note 43 3 5 6" xfId="37004"/>
    <cellStyle name="Note 43 3 5 7" xfId="37005"/>
    <cellStyle name="Note 43 3 5 8" xfId="37006"/>
    <cellStyle name="Note 43 3 6" xfId="9557"/>
    <cellStyle name="Note 43 3 6 2" xfId="9558"/>
    <cellStyle name="Note 43 3 6 3" xfId="9559"/>
    <cellStyle name="Note 43 3 6 4" xfId="9560"/>
    <cellStyle name="Note 43 3 6 5" xfId="9561"/>
    <cellStyle name="Note 43 3 6 6" xfId="37007"/>
    <cellStyle name="Note 43 3 6 7" xfId="37008"/>
    <cellStyle name="Note 43 3 6 8" xfId="37009"/>
    <cellStyle name="Note 43 3 7" xfId="9562"/>
    <cellStyle name="Note 43 3 8" xfId="9563"/>
    <cellStyle name="Note 43 3 9" xfId="9564"/>
    <cellStyle name="Note 43 4" xfId="9565"/>
    <cellStyle name="Note 43 4 2" xfId="9566"/>
    <cellStyle name="Note 43 4 3" xfId="9567"/>
    <cellStyle name="Note 43 4 4" xfId="9568"/>
    <cellStyle name="Note 43 4 5" xfId="9569"/>
    <cellStyle name="Note 43 4 6" xfId="37010"/>
    <cellStyle name="Note 43 4 7" xfId="37011"/>
    <cellStyle name="Note 43 4 8" xfId="37012"/>
    <cellStyle name="Note 43 5" xfId="9570"/>
    <cellStyle name="Note 43 5 2" xfId="9571"/>
    <cellStyle name="Note 43 5 3" xfId="9572"/>
    <cellStyle name="Note 43 5 4" xfId="9573"/>
    <cellStyle name="Note 43 5 5" xfId="9574"/>
    <cellStyle name="Note 43 5 6" xfId="37013"/>
    <cellStyle name="Note 43 5 7" xfId="37014"/>
    <cellStyle name="Note 43 5 8" xfId="37015"/>
    <cellStyle name="Note 43 6" xfId="9575"/>
    <cellStyle name="Note 43 6 2" xfId="9576"/>
    <cellStyle name="Note 43 6 3" xfId="9577"/>
    <cellStyle name="Note 43 6 4" xfId="9578"/>
    <cellStyle name="Note 43 6 5" xfId="9579"/>
    <cellStyle name="Note 43 6 6" xfId="37016"/>
    <cellStyle name="Note 43 6 7" xfId="37017"/>
    <cellStyle name="Note 43 6 8" xfId="37018"/>
    <cellStyle name="Note 43 7" xfId="9580"/>
    <cellStyle name="Note 43 7 2" xfId="9581"/>
    <cellStyle name="Note 43 7 3" xfId="9582"/>
    <cellStyle name="Note 43 7 4" xfId="9583"/>
    <cellStyle name="Note 43 7 5" xfId="9584"/>
    <cellStyle name="Note 43 7 6" xfId="37019"/>
    <cellStyle name="Note 43 7 7" xfId="37020"/>
    <cellStyle name="Note 43 7 8" xfId="37021"/>
    <cellStyle name="Note 43 8" xfId="9585"/>
    <cellStyle name="Note 43 8 2" xfId="9586"/>
    <cellStyle name="Note 43 8 3" xfId="9587"/>
    <cellStyle name="Note 43 8 4" xfId="9588"/>
    <cellStyle name="Note 43 8 5" xfId="9589"/>
    <cellStyle name="Note 43 8 6" xfId="37022"/>
    <cellStyle name="Note 43 8 7" xfId="37023"/>
    <cellStyle name="Note 43 8 8" xfId="37024"/>
    <cellStyle name="Note 43 9" xfId="9590"/>
    <cellStyle name="Note 44" xfId="9591"/>
    <cellStyle name="Note 44 10" xfId="9592"/>
    <cellStyle name="Note 44 11" xfId="9593"/>
    <cellStyle name="Note 44 12" xfId="9594"/>
    <cellStyle name="Note 44 13" xfId="37025"/>
    <cellStyle name="Note 44 14" xfId="37026"/>
    <cellStyle name="Note 44 15" xfId="37027"/>
    <cellStyle name="Note 44 2" xfId="9595"/>
    <cellStyle name="Note 44 2 10" xfId="9596"/>
    <cellStyle name="Note 44 2 11" xfId="37028"/>
    <cellStyle name="Note 44 2 12" xfId="37029"/>
    <cellStyle name="Note 44 2 13" xfId="37030"/>
    <cellStyle name="Note 44 2 2" xfId="9597"/>
    <cellStyle name="Note 44 2 2 2" xfId="9598"/>
    <cellStyle name="Note 44 2 2 3" xfId="9599"/>
    <cellStyle name="Note 44 2 2 4" xfId="9600"/>
    <cellStyle name="Note 44 2 2 5" xfId="9601"/>
    <cellStyle name="Note 44 2 2 6" xfId="37031"/>
    <cellStyle name="Note 44 2 2 7" xfId="37032"/>
    <cellStyle name="Note 44 2 2 8" xfId="37033"/>
    <cellStyle name="Note 44 2 3" xfId="9602"/>
    <cellStyle name="Note 44 2 3 2" xfId="9603"/>
    <cellStyle name="Note 44 2 3 3" xfId="9604"/>
    <cellStyle name="Note 44 2 3 4" xfId="9605"/>
    <cellStyle name="Note 44 2 3 5" xfId="9606"/>
    <cellStyle name="Note 44 2 3 6" xfId="37034"/>
    <cellStyle name="Note 44 2 3 7" xfId="37035"/>
    <cellStyle name="Note 44 2 3 8" xfId="37036"/>
    <cellStyle name="Note 44 2 4" xfId="9607"/>
    <cellStyle name="Note 44 2 4 2" xfId="9608"/>
    <cellStyle name="Note 44 2 4 3" xfId="9609"/>
    <cellStyle name="Note 44 2 4 4" xfId="9610"/>
    <cellStyle name="Note 44 2 4 5" xfId="9611"/>
    <cellStyle name="Note 44 2 4 6" xfId="37037"/>
    <cellStyle name="Note 44 2 4 7" xfId="37038"/>
    <cellStyle name="Note 44 2 4 8" xfId="37039"/>
    <cellStyle name="Note 44 2 5" xfId="9612"/>
    <cellStyle name="Note 44 2 5 2" xfId="9613"/>
    <cellStyle name="Note 44 2 5 3" xfId="9614"/>
    <cellStyle name="Note 44 2 5 4" xfId="9615"/>
    <cellStyle name="Note 44 2 5 5" xfId="9616"/>
    <cellStyle name="Note 44 2 5 6" xfId="37040"/>
    <cellStyle name="Note 44 2 5 7" xfId="37041"/>
    <cellStyle name="Note 44 2 5 8" xfId="37042"/>
    <cellStyle name="Note 44 2 6" xfId="9617"/>
    <cellStyle name="Note 44 2 6 2" xfId="9618"/>
    <cellStyle name="Note 44 2 6 3" xfId="9619"/>
    <cellStyle name="Note 44 2 6 4" xfId="9620"/>
    <cellStyle name="Note 44 2 6 5" xfId="9621"/>
    <cellStyle name="Note 44 2 6 6" xfId="37043"/>
    <cellStyle name="Note 44 2 6 7" xfId="37044"/>
    <cellStyle name="Note 44 2 6 8" xfId="37045"/>
    <cellStyle name="Note 44 2 7" xfId="9622"/>
    <cellStyle name="Note 44 2 8" xfId="9623"/>
    <cellStyle name="Note 44 2 9" xfId="9624"/>
    <cellStyle name="Note 44 3" xfId="9625"/>
    <cellStyle name="Note 44 3 10" xfId="9626"/>
    <cellStyle name="Note 44 3 11" xfId="37046"/>
    <cellStyle name="Note 44 3 12" xfId="37047"/>
    <cellStyle name="Note 44 3 13" xfId="37048"/>
    <cellStyle name="Note 44 3 2" xfId="9627"/>
    <cellStyle name="Note 44 3 2 2" xfId="9628"/>
    <cellStyle name="Note 44 3 2 3" xfId="9629"/>
    <cellStyle name="Note 44 3 2 4" xfId="9630"/>
    <cellStyle name="Note 44 3 2 5" xfId="9631"/>
    <cellStyle name="Note 44 3 2 6" xfId="37049"/>
    <cellStyle name="Note 44 3 2 7" xfId="37050"/>
    <cellStyle name="Note 44 3 2 8" xfId="37051"/>
    <cellStyle name="Note 44 3 3" xfId="9632"/>
    <cellStyle name="Note 44 3 3 2" xfId="9633"/>
    <cellStyle name="Note 44 3 3 3" xfId="9634"/>
    <cellStyle name="Note 44 3 3 4" xfId="9635"/>
    <cellStyle name="Note 44 3 3 5" xfId="9636"/>
    <cellStyle name="Note 44 3 3 6" xfId="37052"/>
    <cellStyle name="Note 44 3 3 7" xfId="37053"/>
    <cellStyle name="Note 44 3 3 8" xfId="37054"/>
    <cellStyle name="Note 44 3 4" xfId="9637"/>
    <cellStyle name="Note 44 3 4 2" xfId="9638"/>
    <cellStyle name="Note 44 3 4 3" xfId="9639"/>
    <cellStyle name="Note 44 3 4 4" xfId="9640"/>
    <cellStyle name="Note 44 3 4 5" xfId="9641"/>
    <cellStyle name="Note 44 3 4 6" xfId="37055"/>
    <cellStyle name="Note 44 3 4 7" xfId="37056"/>
    <cellStyle name="Note 44 3 4 8" xfId="37057"/>
    <cellStyle name="Note 44 3 5" xfId="9642"/>
    <cellStyle name="Note 44 3 5 2" xfId="9643"/>
    <cellStyle name="Note 44 3 5 3" xfId="9644"/>
    <cellStyle name="Note 44 3 5 4" xfId="9645"/>
    <cellStyle name="Note 44 3 5 5" xfId="9646"/>
    <cellStyle name="Note 44 3 5 6" xfId="37058"/>
    <cellStyle name="Note 44 3 5 7" xfId="37059"/>
    <cellStyle name="Note 44 3 5 8" xfId="37060"/>
    <cellStyle name="Note 44 3 6" xfId="9647"/>
    <cellStyle name="Note 44 3 6 2" xfId="9648"/>
    <cellStyle name="Note 44 3 6 3" xfId="9649"/>
    <cellStyle name="Note 44 3 6 4" xfId="9650"/>
    <cellStyle name="Note 44 3 6 5" xfId="9651"/>
    <cellStyle name="Note 44 3 6 6" xfId="37061"/>
    <cellStyle name="Note 44 3 6 7" xfId="37062"/>
    <cellStyle name="Note 44 3 6 8" xfId="37063"/>
    <cellStyle name="Note 44 3 7" xfId="9652"/>
    <cellStyle name="Note 44 3 8" xfId="9653"/>
    <cellStyle name="Note 44 3 9" xfId="9654"/>
    <cellStyle name="Note 44 4" xfId="9655"/>
    <cellStyle name="Note 44 4 2" xfId="9656"/>
    <cellStyle name="Note 44 4 3" xfId="9657"/>
    <cellStyle name="Note 44 4 4" xfId="9658"/>
    <cellStyle name="Note 44 4 5" xfId="9659"/>
    <cellStyle name="Note 44 4 6" xfId="37064"/>
    <cellStyle name="Note 44 4 7" xfId="37065"/>
    <cellStyle name="Note 44 4 8" xfId="37066"/>
    <cellStyle name="Note 44 5" xfId="9660"/>
    <cellStyle name="Note 44 5 2" xfId="9661"/>
    <cellStyle name="Note 44 5 3" xfId="9662"/>
    <cellStyle name="Note 44 5 4" xfId="9663"/>
    <cellStyle name="Note 44 5 5" xfId="9664"/>
    <cellStyle name="Note 44 5 6" xfId="37067"/>
    <cellStyle name="Note 44 5 7" xfId="37068"/>
    <cellStyle name="Note 44 5 8" xfId="37069"/>
    <cellStyle name="Note 44 6" xfId="9665"/>
    <cellStyle name="Note 44 6 2" xfId="9666"/>
    <cellStyle name="Note 44 6 3" xfId="9667"/>
    <cellStyle name="Note 44 6 4" xfId="9668"/>
    <cellStyle name="Note 44 6 5" xfId="9669"/>
    <cellStyle name="Note 44 6 6" xfId="37070"/>
    <cellStyle name="Note 44 6 7" xfId="37071"/>
    <cellStyle name="Note 44 6 8" xfId="37072"/>
    <cellStyle name="Note 44 7" xfId="9670"/>
    <cellStyle name="Note 44 7 2" xfId="9671"/>
    <cellStyle name="Note 44 7 3" xfId="9672"/>
    <cellStyle name="Note 44 7 4" xfId="9673"/>
    <cellStyle name="Note 44 7 5" xfId="9674"/>
    <cellStyle name="Note 44 7 6" xfId="37073"/>
    <cellStyle name="Note 44 7 7" xfId="37074"/>
    <cellStyle name="Note 44 7 8" xfId="37075"/>
    <cellStyle name="Note 44 8" xfId="9675"/>
    <cellStyle name="Note 44 8 2" xfId="9676"/>
    <cellStyle name="Note 44 8 3" xfId="9677"/>
    <cellStyle name="Note 44 8 4" xfId="9678"/>
    <cellStyle name="Note 44 8 5" xfId="9679"/>
    <cellStyle name="Note 44 8 6" xfId="37076"/>
    <cellStyle name="Note 44 8 7" xfId="37077"/>
    <cellStyle name="Note 44 8 8" xfId="37078"/>
    <cellStyle name="Note 44 9" xfId="9680"/>
    <cellStyle name="Note 45" xfId="9681"/>
    <cellStyle name="Note 45 10" xfId="9682"/>
    <cellStyle name="Note 45 11" xfId="9683"/>
    <cellStyle name="Note 45 12" xfId="9684"/>
    <cellStyle name="Note 45 13" xfId="37079"/>
    <cellStyle name="Note 45 14" xfId="37080"/>
    <cellStyle name="Note 45 15" xfId="37081"/>
    <cellStyle name="Note 45 2" xfId="9685"/>
    <cellStyle name="Note 45 2 10" xfId="9686"/>
    <cellStyle name="Note 45 2 11" xfId="37082"/>
    <cellStyle name="Note 45 2 12" xfId="37083"/>
    <cellStyle name="Note 45 2 13" xfId="37084"/>
    <cellStyle name="Note 45 2 2" xfId="9687"/>
    <cellStyle name="Note 45 2 2 2" xfId="9688"/>
    <cellStyle name="Note 45 2 2 3" xfId="9689"/>
    <cellStyle name="Note 45 2 2 4" xfId="9690"/>
    <cellStyle name="Note 45 2 2 5" xfId="9691"/>
    <cellStyle name="Note 45 2 2 6" xfId="37085"/>
    <cellStyle name="Note 45 2 2 7" xfId="37086"/>
    <cellStyle name="Note 45 2 2 8" xfId="37087"/>
    <cellStyle name="Note 45 2 3" xfId="9692"/>
    <cellStyle name="Note 45 2 3 2" xfId="9693"/>
    <cellStyle name="Note 45 2 3 3" xfId="9694"/>
    <cellStyle name="Note 45 2 3 4" xfId="9695"/>
    <cellStyle name="Note 45 2 3 5" xfId="9696"/>
    <cellStyle name="Note 45 2 3 6" xfId="37088"/>
    <cellStyle name="Note 45 2 3 7" xfId="37089"/>
    <cellStyle name="Note 45 2 3 8" xfId="37090"/>
    <cellStyle name="Note 45 2 4" xfId="9697"/>
    <cellStyle name="Note 45 2 4 2" xfId="9698"/>
    <cellStyle name="Note 45 2 4 3" xfId="9699"/>
    <cellStyle name="Note 45 2 4 4" xfId="9700"/>
    <cellStyle name="Note 45 2 4 5" xfId="9701"/>
    <cellStyle name="Note 45 2 4 6" xfId="37091"/>
    <cellStyle name="Note 45 2 4 7" xfId="37092"/>
    <cellStyle name="Note 45 2 4 8" xfId="37093"/>
    <cellStyle name="Note 45 2 5" xfId="9702"/>
    <cellStyle name="Note 45 2 5 2" xfId="9703"/>
    <cellStyle name="Note 45 2 5 3" xfId="9704"/>
    <cellStyle name="Note 45 2 5 4" xfId="9705"/>
    <cellStyle name="Note 45 2 5 5" xfId="9706"/>
    <cellStyle name="Note 45 2 5 6" xfId="37094"/>
    <cellStyle name="Note 45 2 5 7" xfId="37095"/>
    <cellStyle name="Note 45 2 5 8" xfId="37096"/>
    <cellStyle name="Note 45 2 6" xfId="9707"/>
    <cellStyle name="Note 45 2 6 2" xfId="9708"/>
    <cellStyle name="Note 45 2 6 3" xfId="9709"/>
    <cellStyle name="Note 45 2 6 4" xfId="9710"/>
    <cellStyle name="Note 45 2 6 5" xfId="9711"/>
    <cellStyle name="Note 45 2 6 6" xfId="37097"/>
    <cellStyle name="Note 45 2 6 7" xfId="37098"/>
    <cellStyle name="Note 45 2 6 8" xfId="37099"/>
    <cellStyle name="Note 45 2 7" xfId="9712"/>
    <cellStyle name="Note 45 2 8" xfId="9713"/>
    <cellStyle name="Note 45 2 9" xfId="9714"/>
    <cellStyle name="Note 45 3" xfId="9715"/>
    <cellStyle name="Note 45 3 10" xfId="9716"/>
    <cellStyle name="Note 45 3 11" xfId="37100"/>
    <cellStyle name="Note 45 3 12" xfId="37101"/>
    <cellStyle name="Note 45 3 13" xfId="37102"/>
    <cellStyle name="Note 45 3 2" xfId="9717"/>
    <cellStyle name="Note 45 3 2 2" xfId="9718"/>
    <cellStyle name="Note 45 3 2 3" xfId="9719"/>
    <cellStyle name="Note 45 3 2 4" xfId="9720"/>
    <cellStyle name="Note 45 3 2 5" xfId="9721"/>
    <cellStyle name="Note 45 3 2 6" xfId="37103"/>
    <cellStyle name="Note 45 3 2 7" xfId="37104"/>
    <cellStyle name="Note 45 3 2 8" xfId="37105"/>
    <cellStyle name="Note 45 3 3" xfId="9722"/>
    <cellStyle name="Note 45 3 3 2" xfId="9723"/>
    <cellStyle name="Note 45 3 3 3" xfId="9724"/>
    <cellStyle name="Note 45 3 3 4" xfId="9725"/>
    <cellStyle name="Note 45 3 3 5" xfId="9726"/>
    <cellStyle name="Note 45 3 3 6" xfId="37106"/>
    <cellStyle name="Note 45 3 3 7" xfId="37107"/>
    <cellStyle name="Note 45 3 3 8" xfId="37108"/>
    <cellStyle name="Note 45 3 4" xfId="9727"/>
    <cellStyle name="Note 45 3 4 2" xfId="9728"/>
    <cellStyle name="Note 45 3 4 3" xfId="9729"/>
    <cellStyle name="Note 45 3 4 4" xfId="9730"/>
    <cellStyle name="Note 45 3 4 5" xfId="9731"/>
    <cellStyle name="Note 45 3 4 6" xfId="37109"/>
    <cellStyle name="Note 45 3 4 7" xfId="37110"/>
    <cellStyle name="Note 45 3 4 8" xfId="37111"/>
    <cellStyle name="Note 45 3 5" xfId="9732"/>
    <cellStyle name="Note 45 3 5 2" xfId="9733"/>
    <cellStyle name="Note 45 3 5 3" xfId="9734"/>
    <cellStyle name="Note 45 3 5 4" xfId="9735"/>
    <cellStyle name="Note 45 3 5 5" xfId="9736"/>
    <cellStyle name="Note 45 3 5 6" xfId="37112"/>
    <cellStyle name="Note 45 3 5 7" xfId="37113"/>
    <cellStyle name="Note 45 3 5 8" xfId="37114"/>
    <cellStyle name="Note 45 3 6" xfId="9737"/>
    <cellStyle name="Note 45 3 6 2" xfId="9738"/>
    <cellStyle name="Note 45 3 6 3" xfId="9739"/>
    <cellStyle name="Note 45 3 6 4" xfId="9740"/>
    <cellStyle name="Note 45 3 6 5" xfId="9741"/>
    <cellStyle name="Note 45 3 6 6" xfId="37115"/>
    <cellStyle name="Note 45 3 6 7" xfId="37116"/>
    <cellStyle name="Note 45 3 6 8" xfId="37117"/>
    <cellStyle name="Note 45 3 7" xfId="9742"/>
    <cellStyle name="Note 45 3 8" xfId="9743"/>
    <cellStyle name="Note 45 3 9" xfId="9744"/>
    <cellStyle name="Note 45 4" xfId="9745"/>
    <cellStyle name="Note 45 4 2" xfId="9746"/>
    <cellStyle name="Note 45 4 3" xfId="9747"/>
    <cellStyle name="Note 45 4 4" xfId="9748"/>
    <cellStyle name="Note 45 4 5" xfId="9749"/>
    <cellStyle name="Note 45 4 6" xfId="37118"/>
    <cellStyle name="Note 45 4 7" xfId="37119"/>
    <cellStyle name="Note 45 4 8" xfId="37120"/>
    <cellStyle name="Note 45 5" xfId="9750"/>
    <cellStyle name="Note 45 5 2" xfId="9751"/>
    <cellStyle name="Note 45 5 3" xfId="9752"/>
    <cellStyle name="Note 45 5 4" xfId="9753"/>
    <cellStyle name="Note 45 5 5" xfId="9754"/>
    <cellStyle name="Note 45 5 6" xfId="37121"/>
    <cellStyle name="Note 45 5 7" xfId="37122"/>
    <cellStyle name="Note 45 5 8" xfId="37123"/>
    <cellStyle name="Note 45 6" xfId="9755"/>
    <cellStyle name="Note 45 6 2" xfId="9756"/>
    <cellStyle name="Note 45 6 3" xfId="9757"/>
    <cellStyle name="Note 45 6 4" xfId="9758"/>
    <cellStyle name="Note 45 6 5" xfId="9759"/>
    <cellStyle name="Note 45 6 6" xfId="37124"/>
    <cellStyle name="Note 45 6 7" xfId="37125"/>
    <cellStyle name="Note 45 6 8" xfId="37126"/>
    <cellStyle name="Note 45 7" xfId="9760"/>
    <cellStyle name="Note 45 7 2" xfId="9761"/>
    <cellStyle name="Note 45 7 3" xfId="9762"/>
    <cellStyle name="Note 45 7 4" xfId="9763"/>
    <cellStyle name="Note 45 7 5" xfId="9764"/>
    <cellStyle name="Note 45 7 6" xfId="37127"/>
    <cellStyle name="Note 45 7 7" xfId="37128"/>
    <cellStyle name="Note 45 7 8" xfId="37129"/>
    <cellStyle name="Note 45 8" xfId="9765"/>
    <cellStyle name="Note 45 8 2" xfId="9766"/>
    <cellStyle name="Note 45 8 3" xfId="9767"/>
    <cellStyle name="Note 45 8 4" xfId="9768"/>
    <cellStyle name="Note 45 8 5" xfId="9769"/>
    <cellStyle name="Note 45 8 6" xfId="37130"/>
    <cellStyle name="Note 45 8 7" xfId="37131"/>
    <cellStyle name="Note 45 8 8" xfId="37132"/>
    <cellStyle name="Note 45 9" xfId="9770"/>
    <cellStyle name="Note 46" xfId="9771"/>
    <cellStyle name="Note 46 10" xfId="9772"/>
    <cellStyle name="Note 46 11" xfId="9773"/>
    <cellStyle name="Note 46 12" xfId="37133"/>
    <cellStyle name="Note 46 13" xfId="37134"/>
    <cellStyle name="Note 46 14" xfId="37135"/>
    <cellStyle name="Note 46 2" xfId="9774"/>
    <cellStyle name="Note 46 2 10" xfId="9775"/>
    <cellStyle name="Note 46 2 11" xfId="37136"/>
    <cellStyle name="Note 46 2 12" xfId="37137"/>
    <cellStyle name="Note 46 2 13" xfId="37138"/>
    <cellStyle name="Note 46 2 2" xfId="9776"/>
    <cellStyle name="Note 46 2 2 2" xfId="9777"/>
    <cellStyle name="Note 46 2 2 3" xfId="9778"/>
    <cellStyle name="Note 46 2 2 4" xfId="9779"/>
    <cellStyle name="Note 46 2 2 5" xfId="9780"/>
    <cellStyle name="Note 46 2 2 6" xfId="37139"/>
    <cellStyle name="Note 46 2 2 7" xfId="37140"/>
    <cellStyle name="Note 46 2 2 8" xfId="37141"/>
    <cellStyle name="Note 46 2 3" xfId="9781"/>
    <cellStyle name="Note 46 2 3 2" xfId="9782"/>
    <cellStyle name="Note 46 2 3 3" xfId="9783"/>
    <cellStyle name="Note 46 2 3 4" xfId="9784"/>
    <cellStyle name="Note 46 2 3 5" xfId="9785"/>
    <cellStyle name="Note 46 2 3 6" xfId="37142"/>
    <cellStyle name="Note 46 2 3 7" xfId="37143"/>
    <cellStyle name="Note 46 2 3 8" xfId="37144"/>
    <cellStyle name="Note 46 2 4" xfId="9786"/>
    <cellStyle name="Note 46 2 4 2" xfId="9787"/>
    <cellStyle name="Note 46 2 4 3" xfId="9788"/>
    <cellStyle name="Note 46 2 4 4" xfId="9789"/>
    <cellStyle name="Note 46 2 4 5" xfId="9790"/>
    <cellStyle name="Note 46 2 4 6" xfId="37145"/>
    <cellStyle name="Note 46 2 4 7" xfId="37146"/>
    <cellStyle name="Note 46 2 4 8" xfId="37147"/>
    <cellStyle name="Note 46 2 5" xfId="9791"/>
    <cellStyle name="Note 46 2 5 2" xfId="9792"/>
    <cellStyle name="Note 46 2 5 3" xfId="9793"/>
    <cellStyle name="Note 46 2 5 4" xfId="9794"/>
    <cellStyle name="Note 46 2 5 5" xfId="9795"/>
    <cellStyle name="Note 46 2 5 6" xfId="37148"/>
    <cellStyle name="Note 46 2 5 7" xfId="37149"/>
    <cellStyle name="Note 46 2 5 8" xfId="37150"/>
    <cellStyle name="Note 46 2 6" xfId="9796"/>
    <cellStyle name="Note 46 2 6 2" xfId="9797"/>
    <cellStyle name="Note 46 2 6 3" xfId="9798"/>
    <cellStyle name="Note 46 2 6 4" xfId="9799"/>
    <cellStyle name="Note 46 2 6 5" xfId="9800"/>
    <cellStyle name="Note 46 2 6 6" xfId="37151"/>
    <cellStyle name="Note 46 2 6 7" xfId="37152"/>
    <cellStyle name="Note 46 2 6 8" xfId="37153"/>
    <cellStyle name="Note 46 2 7" xfId="9801"/>
    <cellStyle name="Note 46 2 8" xfId="9802"/>
    <cellStyle name="Note 46 2 9" xfId="9803"/>
    <cellStyle name="Note 46 3" xfId="9804"/>
    <cellStyle name="Note 46 3 2" xfId="9805"/>
    <cellStyle name="Note 46 3 3" xfId="9806"/>
    <cellStyle name="Note 46 3 4" xfId="9807"/>
    <cellStyle name="Note 46 3 5" xfId="9808"/>
    <cellStyle name="Note 46 3 6" xfId="37154"/>
    <cellStyle name="Note 46 3 7" xfId="37155"/>
    <cellStyle name="Note 46 3 8" xfId="37156"/>
    <cellStyle name="Note 46 4" xfId="9809"/>
    <cellStyle name="Note 46 4 2" xfId="9810"/>
    <cellStyle name="Note 46 4 3" xfId="9811"/>
    <cellStyle name="Note 46 4 4" xfId="9812"/>
    <cellStyle name="Note 46 4 5" xfId="9813"/>
    <cellStyle name="Note 46 4 6" xfId="37157"/>
    <cellStyle name="Note 46 4 7" xfId="37158"/>
    <cellStyle name="Note 46 4 8" xfId="37159"/>
    <cellStyle name="Note 46 5" xfId="9814"/>
    <cellStyle name="Note 46 5 2" xfId="9815"/>
    <cellStyle name="Note 46 5 3" xfId="9816"/>
    <cellStyle name="Note 46 5 4" xfId="9817"/>
    <cellStyle name="Note 46 5 5" xfId="9818"/>
    <cellStyle name="Note 46 5 6" xfId="37160"/>
    <cellStyle name="Note 46 5 7" xfId="37161"/>
    <cellStyle name="Note 46 5 8" xfId="37162"/>
    <cellStyle name="Note 46 6" xfId="9819"/>
    <cellStyle name="Note 46 6 2" xfId="9820"/>
    <cellStyle name="Note 46 6 3" xfId="9821"/>
    <cellStyle name="Note 46 6 4" xfId="9822"/>
    <cellStyle name="Note 46 6 5" xfId="9823"/>
    <cellStyle name="Note 46 6 6" xfId="37163"/>
    <cellStyle name="Note 46 6 7" xfId="37164"/>
    <cellStyle name="Note 46 6 8" xfId="37165"/>
    <cellStyle name="Note 46 7" xfId="9824"/>
    <cellStyle name="Note 46 7 2" xfId="9825"/>
    <cellStyle name="Note 46 7 3" xfId="9826"/>
    <cellStyle name="Note 46 7 4" xfId="9827"/>
    <cellStyle name="Note 46 7 5" xfId="9828"/>
    <cellStyle name="Note 46 7 6" xfId="37166"/>
    <cellStyle name="Note 46 7 7" xfId="37167"/>
    <cellStyle name="Note 46 7 8" xfId="37168"/>
    <cellStyle name="Note 46 8" xfId="9829"/>
    <cellStyle name="Note 46 9" xfId="9830"/>
    <cellStyle name="Note 47" xfId="9831"/>
    <cellStyle name="Note 47 10" xfId="9832"/>
    <cellStyle name="Note 47 11" xfId="9833"/>
    <cellStyle name="Note 47 12" xfId="37169"/>
    <cellStyle name="Note 47 13" xfId="37170"/>
    <cellStyle name="Note 47 14" xfId="37171"/>
    <cellStyle name="Note 47 2" xfId="9834"/>
    <cellStyle name="Note 47 2 10" xfId="9835"/>
    <cellStyle name="Note 47 2 11" xfId="37172"/>
    <cellStyle name="Note 47 2 12" xfId="37173"/>
    <cellStyle name="Note 47 2 13" xfId="37174"/>
    <cellStyle name="Note 47 2 2" xfId="9836"/>
    <cellStyle name="Note 47 2 2 2" xfId="9837"/>
    <cellStyle name="Note 47 2 2 3" xfId="9838"/>
    <cellStyle name="Note 47 2 2 4" xfId="9839"/>
    <cellStyle name="Note 47 2 2 5" xfId="9840"/>
    <cellStyle name="Note 47 2 2 6" xfId="37175"/>
    <cellStyle name="Note 47 2 2 7" xfId="37176"/>
    <cellStyle name="Note 47 2 2 8" xfId="37177"/>
    <cellStyle name="Note 47 2 3" xfId="9841"/>
    <cellStyle name="Note 47 2 3 2" xfId="9842"/>
    <cellStyle name="Note 47 2 3 3" xfId="9843"/>
    <cellStyle name="Note 47 2 3 4" xfId="9844"/>
    <cellStyle name="Note 47 2 3 5" xfId="9845"/>
    <cellStyle name="Note 47 2 3 6" xfId="37178"/>
    <cellStyle name="Note 47 2 3 7" xfId="37179"/>
    <cellStyle name="Note 47 2 3 8" xfId="37180"/>
    <cellStyle name="Note 47 2 4" xfId="9846"/>
    <cellStyle name="Note 47 2 4 2" xfId="9847"/>
    <cellStyle name="Note 47 2 4 3" xfId="9848"/>
    <cellStyle name="Note 47 2 4 4" xfId="9849"/>
    <cellStyle name="Note 47 2 4 5" xfId="9850"/>
    <cellStyle name="Note 47 2 4 6" xfId="37181"/>
    <cellStyle name="Note 47 2 4 7" xfId="37182"/>
    <cellStyle name="Note 47 2 4 8" xfId="37183"/>
    <cellStyle name="Note 47 2 5" xfId="9851"/>
    <cellStyle name="Note 47 2 5 2" xfId="9852"/>
    <cellStyle name="Note 47 2 5 3" xfId="9853"/>
    <cellStyle name="Note 47 2 5 4" xfId="9854"/>
    <cellStyle name="Note 47 2 5 5" xfId="9855"/>
    <cellStyle name="Note 47 2 5 6" xfId="37184"/>
    <cellStyle name="Note 47 2 5 7" xfId="37185"/>
    <cellStyle name="Note 47 2 5 8" xfId="37186"/>
    <cellStyle name="Note 47 2 6" xfId="9856"/>
    <cellStyle name="Note 47 2 6 2" xfId="9857"/>
    <cellStyle name="Note 47 2 6 3" xfId="9858"/>
    <cellStyle name="Note 47 2 6 4" xfId="9859"/>
    <cellStyle name="Note 47 2 6 5" xfId="9860"/>
    <cellStyle name="Note 47 2 6 6" xfId="37187"/>
    <cellStyle name="Note 47 2 6 7" xfId="37188"/>
    <cellStyle name="Note 47 2 6 8" xfId="37189"/>
    <cellStyle name="Note 47 2 7" xfId="9861"/>
    <cellStyle name="Note 47 2 8" xfId="9862"/>
    <cellStyle name="Note 47 2 9" xfId="9863"/>
    <cellStyle name="Note 47 3" xfId="9864"/>
    <cellStyle name="Note 47 3 2" xfId="9865"/>
    <cellStyle name="Note 47 3 3" xfId="9866"/>
    <cellStyle name="Note 47 3 4" xfId="9867"/>
    <cellStyle name="Note 47 3 5" xfId="9868"/>
    <cellStyle name="Note 47 3 6" xfId="37190"/>
    <cellStyle name="Note 47 3 7" xfId="37191"/>
    <cellStyle name="Note 47 3 8" xfId="37192"/>
    <cellStyle name="Note 47 4" xfId="9869"/>
    <cellStyle name="Note 47 4 2" xfId="9870"/>
    <cellStyle name="Note 47 4 3" xfId="9871"/>
    <cellStyle name="Note 47 4 4" xfId="9872"/>
    <cellStyle name="Note 47 4 5" xfId="9873"/>
    <cellStyle name="Note 47 4 6" xfId="37193"/>
    <cellStyle name="Note 47 4 7" xfId="37194"/>
    <cellStyle name="Note 47 4 8" xfId="37195"/>
    <cellStyle name="Note 47 5" xfId="9874"/>
    <cellStyle name="Note 47 5 2" xfId="9875"/>
    <cellStyle name="Note 47 5 3" xfId="9876"/>
    <cellStyle name="Note 47 5 4" xfId="9877"/>
    <cellStyle name="Note 47 5 5" xfId="9878"/>
    <cellStyle name="Note 47 5 6" xfId="37196"/>
    <cellStyle name="Note 47 5 7" xfId="37197"/>
    <cellStyle name="Note 47 5 8" xfId="37198"/>
    <cellStyle name="Note 47 6" xfId="9879"/>
    <cellStyle name="Note 47 6 2" xfId="9880"/>
    <cellStyle name="Note 47 6 3" xfId="9881"/>
    <cellStyle name="Note 47 6 4" xfId="9882"/>
    <cellStyle name="Note 47 6 5" xfId="9883"/>
    <cellStyle name="Note 47 6 6" xfId="37199"/>
    <cellStyle name="Note 47 6 7" xfId="37200"/>
    <cellStyle name="Note 47 6 8" xfId="37201"/>
    <cellStyle name="Note 47 7" xfId="9884"/>
    <cellStyle name="Note 47 7 2" xfId="9885"/>
    <cellStyle name="Note 47 7 3" xfId="9886"/>
    <cellStyle name="Note 47 7 4" xfId="9887"/>
    <cellStyle name="Note 47 7 5" xfId="9888"/>
    <cellStyle name="Note 47 7 6" xfId="37202"/>
    <cellStyle name="Note 47 7 7" xfId="37203"/>
    <cellStyle name="Note 47 7 8" xfId="37204"/>
    <cellStyle name="Note 47 8" xfId="9889"/>
    <cellStyle name="Note 47 9" xfId="9890"/>
    <cellStyle name="Note 48" xfId="9891"/>
    <cellStyle name="Note 48 10" xfId="9892"/>
    <cellStyle name="Note 48 11" xfId="9893"/>
    <cellStyle name="Note 48 12" xfId="37205"/>
    <cellStyle name="Note 48 13" xfId="37206"/>
    <cellStyle name="Note 48 14" xfId="37207"/>
    <cellStyle name="Note 48 2" xfId="9894"/>
    <cellStyle name="Note 48 2 10" xfId="9895"/>
    <cellStyle name="Note 48 2 11" xfId="37208"/>
    <cellStyle name="Note 48 2 12" xfId="37209"/>
    <cellStyle name="Note 48 2 13" xfId="37210"/>
    <cellStyle name="Note 48 2 2" xfId="9896"/>
    <cellStyle name="Note 48 2 2 2" xfId="9897"/>
    <cellStyle name="Note 48 2 2 3" xfId="9898"/>
    <cellStyle name="Note 48 2 2 4" xfId="9899"/>
    <cellStyle name="Note 48 2 2 5" xfId="9900"/>
    <cellStyle name="Note 48 2 2 6" xfId="37211"/>
    <cellStyle name="Note 48 2 2 7" xfId="37212"/>
    <cellStyle name="Note 48 2 2 8" xfId="37213"/>
    <cellStyle name="Note 48 2 3" xfId="9901"/>
    <cellStyle name="Note 48 2 3 2" xfId="9902"/>
    <cellStyle name="Note 48 2 3 3" xfId="9903"/>
    <cellStyle name="Note 48 2 3 4" xfId="9904"/>
    <cellStyle name="Note 48 2 3 5" xfId="9905"/>
    <cellStyle name="Note 48 2 3 6" xfId="37214"/>
    <cellStyle name="Note 48 2 3 7" xfId="37215"/>
    <cellStyle name="Note 48 2 3 8" xfId="37216"/>
    <cellStyle name="Note 48 2 4" xfId="9906"/>
    <cellStyle name="Note 48 2 4 2" xfId="9907"/>
    <cellStyle name="Note 48 2 4 3" xfId="9908"/>
    <cellStyle name="Note 48 2 4 4" xfId="9909"/>
    <cellStyle name="Note 48 2 4 5" xfId="9910"/>
    <cellStyle name="Note 48 2 4 6" xfId="37217"/>
    <cellStyle name="Note 48 2 4 7" xfId="37218"/>
    <cellStyle name="Note 48 2 4 8" xfId="37219"/>
    <cellStyle name="Note 48 2 5" xfId="9911"/>
    <cellStyle name="Note 48 2 5 2" xfId="9912"/>
    <cellStyle name="Note 48 2 5 3" xfId="9913"/>
    <cellStyle name="Note 48 2 5 4" xfId="9914"/>
    <cellStyle name="Note 48 2 5 5" xfId="9915"/>
    <cellStyle name="Note 48 2 5 6" xfId="37220"/>
    <cellStyle name="Note 48 2 5 7" xfId="37221"/>
    <cellStyle name="Note 48 2 5 8" xfId="37222"/>
    <cellStyle name="Note 48 2 6" xfId="9916"/>
    <cellStyle name="Note 48 2 6 2" xfId="9917"/>
    <cellStyle name="Note 48 2 6 3" xfId="9918"/>
    <cellStyle name="Note 48 2 6 4" xfId="9919"/>
    <cellStyle name="Note 48 2 6 5" xfId="9920"/>
    <cellStyle name="Note 48 2 6 6" xfId="37223"/>
    <cellStyle name="Note 48 2 6 7" xfId="37224"/>
    <cellStyle name="Note 48 2 6 8" xfId="37225"/>
    <cellStyle name="Note 48 2 7" xfId="9921"/>
    <cellStyle name="Note 48 2 8" xfId="9922"/>
    <cellStyle name="Note 48 2 9" xfId="9923"/>
    <cellStyle name="Note 48 3" xfId="9924"/>
    <cellStyle name="Note 48 3 2" xfId="9925"/>
    <cellStyle name="Note 48 3 3" xfId="9926"/>
    <cellStyle name="Note 48 3 4" xfId="9927"/>
    <cellStyle name="Note 48 3 5" xfId="9928"/>
    <cellStyle name="Note 48 3 6" xfId="37226"/>
    <cellStyle name="Note 48 3 7" xfId="37227"/>
    <cellStyle name="Note 48 3 8" xfId="37228"/>
    <cellStyle name="Note 48 4" xfId="9929"/>
    <cellStyle name="Note 48 4 2" xfId="9930"/>
    <cellStyle name="Note 48 4 3" xfId="9931"/>
    <cellStyle name="Note 48 4 4" xfId="9932"/>
    <cellStyle name="Note 48 4 5" xfId="9933"/>
    <cellStyle name="Note 48 4 6" xfId="37229"/>
    <cellStyle name="Note 48 4 7" xfId="37230"/>
    <cellStyle name="Note 48 4 8" xfId="37231"/>
    <cellStyle name="Note 48 5" xfId="9934"/>
    <cellStyle name="Note 48 5 2" xfId="9935"/>
    <cellStyle name="Note 48 5 3" xfId="9936"/>
    <cellStyle name="Note 48 5 4" xfId="9937"/>
    <cellStyle name="Note 48 5 5" xfId="9938"/>
    <cellStyle name="Note 48 5 6" xfId="37232"/>
    <cellStyle name="Note 48 5 7" xfId="37233"/>
    <cellStyle name="Note 48 5 8" xfId="37234"/>
    <cellStyle name="Note 48 6" xfId="9939"/>
    <cellStyle name="Note 48 6 2" xfId="9940"/>
    <cellStyle name="Note 48 6 3" xfId="9941"/>
    <cellStyle name="Note 48 6 4" xfId="9942"/>
    <cellStyle name="Note 48 6 5" xfId="9943"/>
    <cellStyle name="Note 48 6 6" xfId="37235"/>
    <cellStyle name="Note 48 6 7" xfId="37236"/>
    <cellStyle name="Note 48 6 8" xfId="37237"/>
    <cellStyle name="Note 48 7" xfId="9944"/>
    <cellStyle name="Note 48 7 2" xfId="9945"/>
    <cellStyle name="Note 48 7 3" xfId="9946"/>
    <cellStyle name="Note 48 7 4" xfId="9947"/>
    <cellStyle name="Note 48 7 5" xfId="9948"/>
    <cellStyle name="Note 48 7 6" xfId="37238"/>
    <cellStyle name="Note 48 7 7" xfId="37239"/>
    <cellStyle name="Note 48 7 8" xfId="37240"/>
    <cellStyle name="Note 48 8" xfId="9949"/>
    <cellStyle name="Note 48 9" xfId="9950"/>
    <cellStyle name="Note 49" xfId="9951"/>
    <cellStyle name="Note 49 10" xfId="9952"/>
    <cellStyle name="Note 49 11" xfId="9953"/>
    <cellStyle name="Note 49 12" xfId="37241"/>
    <cellStyle name="Note 49 13" xfId="37242"/>
    <cellStyle name="Note 49 14" xfId="37243"/>
    <cellStyle name="Note 49 2" xfId="9954"/>
    <cellStyle name="Note 49 2 10" xfId="9955"/>
    <cellStyle name="Note 49 2 11" xfId="37244"/>
    <cellStyle name="Note 49 2 12" xfId="37245"/>
    <cellStyle name="Note 49 2 13" xfId="37246"/>
    <cellStyle name="Note 49 2 2" xfId="9956"/>
    <cellStyle name="Note 49 2 2 2" xfId="9957"/>
    <cellStyle name="Note 49 2 2 3" xfId="9958"/>
    <cellStyle name="Note 49 2 2 4" xfId="9959"/>
    <cellStyle name="Note 49 2 2 5" xfId="9960"/>
    <cellStyle name="Note 49 2 2 6" xfId="37247"/>
    <cellStyle name="Note 49 2 2 7" xfId="37248"/>
    <cellStyle name="Note 49 2 2 8" xfId="37249"/>
    <cellStyle name="Note 49 2 3" xfId="9961"/>
    <cellStyle name="Note 49 2 3 2" xfId="9962"/>
    <cellStyle name="Note 49 2 3 3" xfId="9963"/>
    <cellStyle name="Note 49 2 3 4" xfId="9964"/>
    <cellStyle name="Note 49 2 3 5" xfId="9965"/>
    <cellStyle name="Note 49 2 3 6" xfId="37250"/>
    <cellStyle name="Note 49 2 3 7" xfId="37251"/>
    <cellStyle name="Note 49 2 3 8" xfId="37252"/>
    <cellStyle name="Note 49 2 4" xfId="9966"/>
    <cellStyle name="Note 49 2 4 2" xfId="9967"/>
    <cellStyle name="Note 49 2 4 3" xfId="9968"/>
    <cellStyle name="Note 49 2 4 4" xfId="9969"/>
    <cellStyle name="Note 49 2 4 5" xfId="9970"/>
    <cellStyle name="Note 49 2 4 6" xfId="37253"/>
    <cellStyle name="Note 49 2 4 7" xfId="37254"/>
    <cellStyle name="Note 49 2 4 8" xfId="37255"/>
    <cellStyle name="Note 49 2 5" xfId="9971"/>
    <cellStyle name="Note 49 2 5 2" xfId="9972"/>
    <cellStyle name="Note 49 2 5 3" xfId="9973"/>
    <cellStyle name="Note 49 2 5 4" xfId="9974"/>
    <cellStyle name="Note 49 2 5 5" xfId="9975"/>
    <cellStyle name="Note 49 2 5 6" xfId="37256"/>
    <cellStyle name="Note 49 2 5 7" xfId="37257"/>
    <cellStyle name="Note 49 2 5 8" xfId="37258"/>
    <cellStyle name="Note 49 2 6" xfId="9976"/>
    <cellStyle name="Note 49 2 6 2" xfId="9977"/>
    <cellStyle name="Note 49 2 6 3" xfId="9978"/>
    <cellStyle name="Note 49 2 6 4" xfId="9979"/>
    <cellStyle name="Note 49 2 6 5" xfId="9980"/>
    <cellStyle name="Note 49 2 6 6" xfId="37259"/>
    <cellStyle name="Note 49 2 6 7" xfId="37260"/>
    <cellStyle name="Note 49 2 6 8" xfId="37261"/>
    <cellStyle name="Note 49 2 7" xfId="9981"/>
    <cellStyle name="Note 49 2 8" xfId="9982"/>
    <cellStyle name="Note 49 2 9" xfId="9983"/>
    <cellStyle name="Note 49 3" xfId="9984"/>
    <cellStyle name="Note 49 3 2" xfId="9985"/>
    <cellStyle name="Note 49 3 3" xfId="9986"/>
    <cellStyle name="Note 49 3 4" xfId="9987"/>
    <cellStyle name="Note 49 3 5" xfId="9988"/>
    <cellStyle name="Note 49 3 6" xfId="37262"/>
    <cellStyle name="Note 49 3 7" xfId="37263"/>
    <cellStyle name="Note 49 3 8" xfId="37264"/>
    <cellStyle name="Note 49 4" xfId="9989"/>
    <cellStyle name="Note 49 4 2" xfId="9990"/>
    <cellStyle name="Note 49 4 3" xfId="9991"/>
    <cellStyle name="Note 49 4 4" xfId="9992"/>
    <cellStyle name="Note 49 4 5" xfId="9993"/>
    <cellStyle name="Note 49 4 6" xfId="37265"/>
    <cellStyle name="Note 49 4 7" xfId="37266"/>
    <cellStyle name="Note 49 4 8" xfId="37267"/>
    <cellStyle name="Note 49 5" xfId="9994"/>
    <cellStyle name="Note 49 5 2" xfId="9995"/>
    <cellStyle name="Note 49 5 3" xfId="9996"/>
    <cellStyle name="Note 49 5 4" xfId="9997"/>
    <cellStyle name="Note 49 5 5" xfId="9998"/>
    <cellStyle name="Note 49 5 6" xfId="37268"/>
    <cellStyle name="Note 49 5 7" xfId="37269"/>
    <cellStyle name="Note 49 5 8" xfId="37270"/>
    <cellStyle name="Note 49 6" xfId="9999"/>
    <cellStyle name="Note 49 6 2" xfId="10000"/>
    <cellStyle name="Note 49 6 3" xfId="10001"/>
    <cellStyle name="Note 49 6 4" xfId="10002"/>
    <cellStyle name="Note 49 6 5" xfId="10003"/>
    <cellStyle name="Note 49 6 6" xfId="37271"/>
    <cellStyle name="Note 49 6 7" xfId="37272"/>
    <cellStyle name="Note 49 6 8" xfId="37273"/>
    <cellStyle name="Note 49 7" xfId="10004"/>
    <cellStyle name="Note 49 7 2" xfId="10005"/>
    <cellStyle name="Note 49 7 3" xfId="10006"/>
    <cellStyle name="Note 49 7 4" xfId="10007"/>
    <cellStyle name="Note 49 7 5" xfId="10008"/>
    <cellStyle name="Note 49 7 6" xfId="37274"/>
    <cellStyle name="Note 49 7 7" xfId="37275"/>
    <cellStyle name="Note 49 7 8" xfId="37276"/>
    <cellStyle name="Note 49 8" xfId="10009"/>
    <cellStyle name="Note 49 9" xfId="10010"/>
    <cellStyle name="Note 5" xfId="10011"/>
    <cellStyle name="Note 5 10" xfId="10012"/>
    <cellStyle name="Note 5 10 10" xfId="10013"/>
    <cellStyle name="Note 5 10 11" xfId="37277"/>
    <cellStyle name="Note 5 10 12" xfId="37278"/>
    <cellStyle name="Note 5 10 13" xfId="37279"/>
    <cellStyle name="Note 5 10 2" xfId="10014"/>
    <cellStyle name="Note 5 10 2 2" xfId="10015"/>
    <cellStyle name="Note 5 10 2 3" xfId="10016"/>
    <cellStyle name="Note 5 10 2 4" xfId="10017"/>
    <cellStyle name="Note 5 10 2 5" xfId="10018"/>
    <cellStyle name="Note 5 10 2 6" xfId="37280"/>
    <cellStyle name="Note 5 10 2 7" xfId="37281"/>
    <cellStyle name="Note 5 10 2 8" xfId="37282"/>
    <cellStyle name="Note 5 10 3" xfId="10019"/>
    <cellStyle name="Note 5 10 3 2" xfId="10020"/>
    <cellStyle name="Note 5 10 3 3" xfId="10021"/>
    <cellStyle name="Note 5 10 3 4" xfId="10022"/>
    <cellStyle name="Note 5 10 3 5" xfId="10023"/>
    <cellStyle name="Note 5 10 3 6" xfId="37283"/>
    <cellStyle name="Note 5 10 3 7" xfId="37284"/>
    <cellStyle name="Note 5 10 3 8" xfId="37285"/>
    <cellStyle name="Note 5 10 4" xfId="10024"/>
    <cellStyle name="Note 5 10 4 2" xfId="10025"/>
    <cellStyle name="Note 5 10 4 3" xfId="10026"/>
    <cellStyle name="Note 5 10 4 4" xfId="10027"/>
    <cellStyle name="Note 5 10 4 5" xfId="10028"/>
    <cellStyle name="Note 5 10 4 6" xfId="37286"/>
    <cellStyle name="Note 5 10 4 7" xfId="37287"/>
    <cellStyle name="Note 5 10 4 8" xfId="37288"/>
    <cellStyle name="Note 5 10 5" xfId="10029"/>
    <cellStyle name="Note 5 10 5 2" xfId="10030"/>
    <cellStyle name="Note 5 10 5 3" xfId="10031"/>
    <cellStyle name="Note 5 10 5 4" xfId="10032"/>
    <cellStyle name="Note 5 10 5 5" xfId="10033"/>
    <cellStyle name="Note 5 10 5 6" xfId="37289"/>
    <cellStyle name="Note 5 10 5 7" xfId="37290"/>
    <cellStyle name="Note 5 10 5 8" xfId="37291"/>
    <cellStyle name="Note 5 10 6" xfId="10034"/>
    <cellStyle name="Note 5 10 6 2" xfId="10035"/>
    <cellStyle name="Note 5 10 6 3" xfId="10036"/>
    <cellStyle name="Note 5 10 6 4" xfId="10037"/>
    <cellStyle name="Note 5 10 6 5" xfId="10038"/>
    <cellStyle name="Note 5 10 6 6" xfId="37292"/>
    <cellStyle name="Note 5 10 6 7" xfId="37293"/>
    <cellStyle name="Note 5 10 6 8" xfId="37294"/>
    <cellStyle name="Note 5 10 7" xfId="10039"/>
    <cellStyle name="Note 5 10 8" xfId="10040"/>
    <cellStyle name="Note 5 10 9" xfId="10041"/>
    <cellStyle name="Note 5 11" xfId="10042"/>
    <cellStyle name="Note 5 11 2" xfId="10043"/>
    <cellStyle name="Note 5 11 3" xfId="10044"/>
    <cellStyle name="Note 5 11 4" xfId="10045"/>
    <cellStyle name="Note 5 11 5" xfId="10046"/>
    <cellStyle name="Note 5 11 6" xfId="37295"/>
    <cellStyle name="Note 5 11 7" xfId="37296"/>
    <cellStyle name="Note 5 11 8" xfId="37297"/>
    <cellStyle name="Note 5 12" xfId="10047"/>
    <cellStyle name="Note 5 12 2" xfId="10048"/>
    <cellStyle name="Note 5 12 3" xfId="10049"/>
    <cellStyle name="Note 5 12 4" xfId="10050"/>
    <cellStyle name="Note 5 12 5" xfId="10051"/>
    <cellStyle name="Note 5 12 6" xfId="37298"/>
    <cellStyle name="Note 5 12 7" xfId="37299"/>
    <cellStyle name="Note 5 12 8" xfId="37300"/>
    <cellStyle name="Note 5 13" xfId="10052"/>
    <cellStyle name="Note 5 13 2" xfId="10053"/>
    <cellStyle name="Note 5 13 3" xfId="10054"/>
    <cellStyle name="Note 5 13 4" xfId="10055"/>
    <cellStyle name="Note 5 13 5" xfId="10056"/>
    <cellStyle name="Note 5 13 6" xfId="37301"/>
    <cellStyle name="Note 5 13 7" xfId="37302"/>
    <cellStyle name="Note 5 13 8" xfId="37303"/>
    <cellStyle name="Note 5 14" xfId="10057"/>
    <cellStyle name="Note 5 14 2" xfId="10058"/>
    <cellStyle name="Note 5 14 3" xfId="10059"/>
    <cellStyle name="Note 5 14 4" xfId="10060"/>
    <cellStyle name="Note 5 14 5" xfId="10061"/>
    <cellStyle name="Note 5 14 6" xfId="37304"/>
    <cellStyle name="Note 5 14 7" xfId="37305"/>
    <cellStyle name="Note 5 14 8" xfId="37306"/>
    <cellStyle name="Note 5 15" xfId="10062"/>
    <cellStyle name="Note 5 15 2" xfId="10063"/>
    <cellStyle name="Note 5 15 3" xfId="10064"/>
    <cellStyle name="Note 5 15 4" xfId="10065"/>
    <cellStyle name="Note 5 15 5" xfId="10066"/>
    <cellStyle name="Note 5 15 6" xfId="37307"/>
    <cellStyle name="Note 5 15 7" xfId="37308"/>
    <cellStyle name="Note 5 15 8" xfId="37309"/>
    <cellStyle name="Note 5 16" xfId="10067"/>
    <cellStyle name="Note 5 17" xfId="10068"/>
    <cellStyle name="Note 5 18" xfId="10069"/>
    <cellStyle name="Note 5 19" xfId="10070"/>
    <cellStyle name="Note 5 2" xfId="10071"/>
    <cellStyle name="Note 5 2 10" xfId="10072"/>
    <cellStyle name="Note 5 2 11" xfId="37310"/>
    <cellStyle name="Note 5 2 12" xfId="37311"/>
    <cellStyle name="Note 5 2 13" xfId="37312"/>
    <cellStyle name="Note 5 2 2" xfId="10073"/>
    <cellStyle name="Note 5 2 2 2" xfId="10074"/>
    <cellStyle name="Note 5 2 2 3" xfId="10075"/>
    <cellStyle name="Note 5 2 2 4" xfId="10076"/>
    <cellStyle name="Note 5 2 2 5" xfId="10077"/>
    <cellStyle name="Note 5 2 2 6" xfId="37313"/>
    <cellStyle name="Note 5 2 2 7" xfId="37314"/>
    <cellStyle name="Note 5 2 2 8" xfId="37315"/>
    <cellStyle name="Note 5 2 3" xfId="10078"/>
    <cellStyle name="Note 5 2 3 2" xfId="10079"/>
    <cellStyle name="Note 5 2 3 3" xfId="10080"/>
    <cellStyle name="Note 5 2 3 4" xfId="10081"/>
    <cellStyle name="Note 5 2 3 5" xfId="10082"/>
    <cellStyle name="Note 5 2 3 6" xfId="37316"/>
    <cellStyle name="Note 5 2 3 7" xfId="37317"/>
    <cellStyle name="Note 5 2 3 8" xfId="37318"/>
    <cellStyle name="Note 5 2 4" xfId="10083"/>
    <cellStyle name="Note 5 2 4 2" xfId="10084"/>
    <cellStyle name="Note 5 2 4 3" xfId="10085"/>
    <cellStyle name="Note 5 2 4 4" xfId="10086"/>
    <cellStyle name="Note 5 2 4 5" xfId="10087"/>
    <cellStyle name="Note 5 2 4 6" xfId="37319"/>
    <cellStyle name="Note 5 2 4 7" xfId="37320"/>
    <cellStyle name="Note 5 2 4 8" xfId="37321"/>
    <cellStyle name="Note 5 2 5" xfId="10088"/>
    <cellStyle name="Note 5 2 5 2" xfId="10089"/>
    <cellStyle name="Note 5 2 5 3" xfId="10090"/>
    <cellStyle name="Note 5 2 5 4" xfId="10091"/>
    <cellStyle name="Note 5 2 5 5" xfId="10092"/>
    <cellStyle name="Note 5 2 5 6" xfId="37322"/>
    <cellStyle name="Note 5 2 5 7" xfId="37323"/>
    <cellStyle name="Note 5 2 5 8" xfId="37324"/>
    <cellStyle name="Note 5 2 6" xfId="10093"/>
    <cellStyle name="Note 5 2 6 2" xfId="10094"/>
    <cellStyle name="Note 5 2 6 3" xfId="10095"/>
    <cellStyle name="Note 5 2 6 4" xfId="10096"/>
    <cellStyle name="Note 5 2 6 5" xfId="10097"/>
    <cellStyle name="Note 5 2 6 6" xfId="37325"/>
    <cellStyle name="Note 5 2 6 7" xfId="37326"/>
    <cellStyle name="Note 5 2 6 8" xfId="37327"/>
    <cellStyle name="Note 5 2 7" xfId="10098"/>
    <cellStyle name="Note 5 2 8" xfId="10099"/>
    <cellStyle name="Note 5 2 9" xfId="10100"/>
    <cellStyle name="Note 5 20" xfId="37328"/>
    <cellStyle name="Note 5 21" xfId="37329"/>
    <cellStyle name="Note 5 22" xfId="37330"/>
    <cellStyle name="Note 5 23" xfId="37331"/>
    <cellStyle name="Note 5 24" xfId="37332"/>
    <cellStyle name="Note 5 3" xfId="10101"/>
    <cellStyle name="Note 5 3 10" xfId="10102"/>
    <cellStyle name="Note 5 3 11" xfId="37333"/>
    <cellStyle name="Note 5 3 12" xfId="37334"/>
    <cellStyle name="Note 5 3 13" xfId="37335"/>
    <cellStyle name="Note 5 3 2" xfId="10103"/>
    <cellStyle name="Note 5 3 2 2" xfId="10104"/>
    <cellStyle name="Note 5 3 2 3" xfId="10105"/>
    <cellStyle name="Note 5 3 2 4" xfId="10106"/>
    <cellStyle name="Note 5 3 2 5" xfId="10107"/>
    <cellStyle name="Note 5 3 2 6" xfId="37336"/>
    <cellStyle name="Note 5 3 2 7" xfId="37337"/>
    <cellStyle name="Note 5 3 2 8" xfId="37338"/>
    <cellStyle name="Note 5 3 3" xfId="10108"/>
    <cellStyle name="Note 5 3 3 2" xfId="10109"/>
    <cellStyle name="Note 5 3 3 3" xfId="10110"/>
    <cellStyle name="Note 5 3 3 4" xfId="10111"/>
    <cellStyle name="Note 5 3 3 5" xfId="10112"/>
    <cellStyle name="Note 5 3 3 6" xfId="37339"/>
    <cellStyle name="Note 5 3 3 7" xfId="37340"/>
    <cellStyle name="Note 5 3 3 8" xfId="37341"/>
    <cellStyle name="Note 5 3 4" xfId="10113"/>
    <cellStyle name="Note 5 3 4 2" xfId="10114"/>
    <cellStyle name="Note 5 3 4 3" xfId="10115"/>
    <cellStyle name="Note 5 3 4 4" xfId="10116"/>
    <cellStyle name="Note 5 3 4 5" xfId="10117"/>
    <cellStyle name="Note 5 3 4 6" xfId="37342"/>
    <cellStyle name="Note 5 3 4 7" xfId="37343"/>
    <cellStyle name="Note 5 3 4 8" xfId="37344"/>
    <cellStyle name="Note 5 3 5" xfId="10118"/>
    <cellStyle name="Note 5 3 5 2" xfId="10119"/>
    <cellStyle name="Note 5 3 5 3" xfId="10120"/>
    <cellStyle name="Note 5 3 5 4" xfId="10121"/>
    <cellStyle name="Note 5 3 5 5" xfId="10122"/>
    <cellStyle name="Note 5 3 5 6" xfId="37345"/>
    <cellStyle name="Note 5 3 5 7" xfId="37346"/>
    <cellStyle name="Note 5 3 5 8" xfId="37347"/>
    <cellStyle name="Note 5 3 6" xfId="10123"/>
    <cellStyle name="Note 5 3 6 2" xfId="10124"/>
    <cellStyle name="Note 5 3 6 3" xfId="10125"/>
    <cellStyle name="Note 5 3 6 4" xfId="10126"/>
    <cellStyle name="Note 5 3 6 5" xfId="10127"/>
    <cellStyle name="Note 5 3 6 6" xfId="37348"/>
    <cellStyle name="Note 5 3 6 7" xfId="37349"/>
    <cellStyle name="Note 5 3 6 8" xfId="37350"/>
    <cellStyle name="Note 5 3 7" xfId="10128"/>
    <cellStyle name="Note 5 3 8" xfId="10129"/>
    <cellStyle name="Note 5 3 9" xfId="10130"/>
    <cellStyle name="Note 5 4" xfId="10131"/>
    <cellStyle name="Note 5 4 10" xfId="10132"/>
    <cellStyle name="Note 5 4 11" xfId="37351"/>
    <cellStyle name="Note 5 4 12" xfId="37352"/>
    <cellStyle name="Note 5 4 13" xfId="37353"/>
    <cellStyle name="Note 5 4 2" xfId="10133"/>
    <cellStyle name="Note 5 4 2 2" xfId="10134"/>
    <cellStyle name="Note 5 4 2 3" xfId="10135"/>
    <cellStyle name="Note 5 4 2 4" xfId="10136"/>
    <cellStyle name="Note 5 4 2 5" xfId="10137"/>
    <cellStyle name="Note 5 4 2 6" xfId="37354"/>
    <cellStyle name="Note 5 4 2 7" xfId="37355"/>
    <cellStyle name="Note 5 4 2 8" xfId="37356"/>
    <cellStyle name="Note 5 4 3" xfId="10138"/>
    <cellStyle name="Note 5 4 3 2" xfId="10139"/>
    <cellStyle name="Note 5 4 3 3" xfId="10140"/>
    <cellStyle name="Note 5 4 3 4" xfId="10141"/>
    <cellStyle name="Note 5 4 3 5" xfId="10142"/>
    <cellStyle name="Note 5 4 3 6" xfId="37357"/>
    <cellStyle name="Note 5 4 3 7" xfId="37358"/>
    <cellStyle name="Note 5 4 3 8" xfId="37359"/>
    <cellStyle name="Note 5 4 4" xfId="10143"/>
    <cellStyle name="Note 5 4 4 2" xfId="10144"/>
    <cellStyle name="Note 5 4 4 3" xfId="10145"/>
    <cellStyle name="Note 5 4 4 4" xfId="10146"/>
    <cellStyle name="Note 5 4 4 5" xfId="10147"/>
    <cellStyle name="Note 5 4 4 6" xfId="37360"/>
    <cellStyle name="Note 5 4 4 7" xfId="37361"/>
    <cellStyle name="Note 5 4 4 8" xfId="37362"/>
    <cellStyle name="Note 5 4 5" xfId="10148"/>
    <cellStyle name="Note 5 4 5 2" xfId="10149"/>
    <cellStyle name="Note 5 4 5 3" xfId="10150"/>
    <cellStyle name="Note 5 4 5 4" xfId="10151"/>
    <cellStyle name="Note 5 4 5 5" xfId="10152"/>
    <cellStyle name="Note 5 4 5 6" xfId="37363"/>
    <cellStyle name="Note 5 4 5 7" xfId="37364"/>
    <cellStyle name="Note 5 4 5 8" xfId="37365"/>
    <cellStyle name="Note 5 4 6" xfId="10153"/>
    <cellStyle name="Note 5 4 6 2" xfId="10154"/>
    <cellStyle name="Note 5 4 6 3" xfId="10155"/>
    <cellStyle name="Note 5 4 6 4" xfId="10156"/>
    <cellStyle name="Note 5 4 6 5" xfId="10157"/>
    <cellStyle name="Note 5 4 6 6" xfId="37366"/>
    <cellStyle name="Note 5 4 6 7" xfId="37367"/>
    <cellStyle name="Note 5 4 6 8" xfId="37368"/>
    <cellStyle name="Note 5 4 7" xfId="10158"/>
    <cellStyle name="Note 5 4 8" xfId="10159"/>
    <cellStyle name="Note 5 4 9" xfId="10160"/>
    <cellStyle name="Note 5 5" xfId="10161"/>
    <cellStyle name="Note 5 5 10" xfId="10162"/>
    <cellStyle name="Note 5 5 11" xfId="37369"/>
    <cellStyle name="Note 5 5 12" xfId="37370"/>
    <cellStyle name="Note 5 5 13" xfId="37371"/>
    <cellStyle name="Note 5 5 2" xfId="10163"/>
    <cellStyle name="Note 5 5 2 2" xfId="10164"/>
    <cellStyle name="Note 5 5 2 3" xfId="10165"/>
    <cellStyle name="Note 5 5 2 4" xfId="10166"/>
    <cellStyle name="Note 5 5 2 5" xfId="10167"/>
    <cellStyle name="Note 5 5 2 6" xfId="37372"/>
    <cellStyle name="Note 5 5 2 7" xfId="37373"/>
    <cellStyle name="Note 5 5 2 8" xfId="37374"/>
    <cellStyle name="Note 5 5 3" xfId="10168"/>
    <cellStyle name="Note 5 5 3 2" xfId="10169"/>
    <cellStyle name="Note 5 5 3 3" xfId="10170"/>
    <cellStyle name="Note 5 5 3 4" xfId="10171"/>
    <cellStyle name="Note 5 5 3 5" xfId="10172"/>
    <cellStyle name="Note 5 5 3 6" xfId="37375"/>
    <cellStyle name="Note 5 5 3 7" xfId="37376"/>
    <cellStyle name="Note 5 5 3 8" xfId="37377"/>
    <cellStyle name="Note 5 5 4" xfId="10173"/>
    <cellStyle name="Note 5 5 4 2" xfId="10174"/>
    <cellStyle name="Note 5 5 4 3" xfId="10175"/>
    <cellStyle name="Note 5 5 4 4" xfId="10176"/>
    <cellStyle name="Note 5 5 4 5" xfId="10177"/>
    <cellStyle name="Note 5 5 4 6" xfId="37378"/>
    <cellStyle name="Note 5 5 4 7" xfId="37379"/>
    <cellStyle name="Note 5 5 4 8" xfId="37380"/>
    <cellStyle name="Note 5 5 5" xfId="10178"/>
    <cellStyle name="Note 5 5 5 2" xfId="10179"/>
    <cellStyle name="Note 5 5 5 3" xfId="10180"/>
    <cellStyle name="Note 5 5 5 4" xfId="10181"/>
    <cellStyle name="Note 5 5 5 5" xfId="10182"/>
    <cellStyle name="Note 5 5 5 6" xfId="37381"/>
    <cellStyle name="Note 5 5 5 7" xfId="37382"/>
    <cellStyle name="Note 5 5 5 8" xfId="37383"/>
    <cellStyle name="Note 5 5 6" xfId="10183"/>
    <cellStyle name="Note 5 5 6 2" xfId="10184"/>
    <cellStyle name="Note 5 5 6 3" xfId="10185"/>
    <cellStyle name="Note 5 5 6 4" xfId="10186"/>
    <cellStyle name="Note 5 5 6 5" xfId="10187"/>
    <cellStyle name="Note 5 5 6 6" xfId="37384"/>
    <cellStyle name="Note 5 5 6 7" xfId="37385"/>
    <cellStyle name="Note 5 5 6 8" xfId="37386"/>
    <cellStyle name="Note 5 5 7" xfId="10188"/>
    <cellStyle name="Note 5 5 8" xfId="10189"/>
    <cellStyle name="Note 5 5 9" xfId="10190"/>
    <cellStyle name="Note 5 6" xfId="10191"/>
    <cellStyle name="Note 5 6 10" xfId="10192"/>
    <cellStyle name="Note 5 6 11" xfId="37387"/>
    <cellStyle name="Note 5 6 12" xfId="37388"/>
    <cellStyle name="Note 5 6 13" xfId="37389"/>
    <cellStyle name="Note 5 6 2" xfId="10193"/>
    <cellStyle name="Note 5 6 2 2" xfId="10194"/>
    <cellStyle name="Note 5 6 2 3" xfId="10195"/>
    <cellStyle name="Note 5 6 2 4" xfId="10196"/>
    <cellStyle name="Note 5 6 2 5" xfId="10197"/>
    <cellStyle name="Note 5 6 2 6" xfId="37390"/>
    <cellStyle name="Note 5 6 2 7" xfId="37391"/>
    <cellStyle name="Note 5 6 2 8" xfId="37392"/>
    <cellStyle name="Note 5 6 3" xfId="10198"/>
    <cellStyle name="Note 5 6 3 2" xfId="10199"/>
    <cellStyle name="Note 5 6 3 3" xfId="10200"/>
    <cellStyle name="Note 5 6 3 4" xfId="10201"/>
    <cellStyle name="Note 5 6 3 5" xfId="10202"/>
    <cellStyle name="Note 5 6 3 6" xfId="37393"/>
    <cellStyle name="Note 5 6 3 7" xfId="37394"/>
    <cellStyle name="Note 5 6 3 8" xfId="37395"/>
    <cellStyle name="Note 5 6 4" xfId="10203"/>
    <cellStyle name="Note 5 6 4 2" xfId="10204"/>
    <cellStyle name="Note 5 6 4 3" xfId="10205"/>
    <cellStyle name="Note 5 6 4 4" xfId="10206"/>
    <cellStyle name="Note 5 6 4 5" xfId="10207"/>
    <cellStyle name="Note 5 6 4 6" xfId="37396"/>
    <cellStyle name="Note 5 6 4 7" xfId="37397"/>
    <cellStyle name="Note 5 6 4 8" xfId="37398"/>
    <cellStyle name="Note 5 6 5" xfId="10208"/>
    <cellStyle name="Note 5 6 5 2" xfId="10209"/>
    <cellStyle name="Note 5 6 5 3" xfId="10210"/>
    <cellStyle name="Note 5 6 5 4" xfId="10211"/>
    <cellStyle name="Note 5 6 5 5" xfId="10212"/>
    <cellStyle name="Note 5 6 5 6" xfId="37399"/>
    <cellStyle name="Note 5 6 5 7" xfId="37400"/>
    <cellStyle name="Note 5 6 5 8" xfId="37401"/>
    <cellStyle name="Note 5 6 6" xfId="10213"/>
    <cellStyle name="Note 5 6 6 2" xfId="10214"/>
    <cellStyle name="Note 5 6 6 3" xfId="10215"/>
    <cellStyle name="Note 5 6 6 4" xfId="10216"/>
    <cellStyle name="Note 5 6 6 5" xfId="10217"/>
    <cellStyle name="Note 5 6 6 6" xfId="37402"/>
    <cellStyle name="Note 5 6 6 7" xfId="37403"/>
    <cellStyle name="Note 5 6 6 8" xfId="37404"/>
    <cellStyle name="Note 5 6 7" xfId="10218"/>
    <cellStyle name="Note 5 6 8" xfId="10219"/>
    <cellStyle name="Note 5 6 9" xfId="10220"/>
    <cellStyle name="Note 5 7" xfId="10221"/>
    <cellStyle name="Note 5 7 10" xfId="10222"/>
    <cellStyle name="Note 5 7 11" xfId="37405"/>
    <cellStyle name="Note 5 7 12" xfId="37406"/>
    <cellStyle name="Note 5 7 13" xfId="37407"/>
    <cellStyle name="Note 5 7 2" xfId="10223"/>
    <cellStyle name="Note 5 7 2 2" xfId="10224"/>
    <cellStyle name="Note 5 7 2 3" xfId="10225"/>
    <cellStyle name="Note 5 7 2 4" xfId="10226"/>
    <cellStyle name="Note 5 7 2 5" xfId="10227"/>
    <cellStyle name="Note 5 7 2 6" xfId="37408"/>
    <cellStyle name="Note 5 7 2 7" xfId="37409"/>
    <cellStyle name="Note 5 7 2 8" xfId="37410"/>
    <cellStyle name="Note 5 7 3" xfId="10228"/>
    <cellStyle name="Note 5 7 3 2" xfId="10229"/>
    <cellStyle name="Note 5 7 3 3" xfId="10230"/>
    <cellStyle name="Note 5 7 3 4" xfId="10231"/>
    <cellStyle name="Note 5 7 3 5" xfId="10232"/>
    <cellStyle name="Note 5 7 3 6" xfId="37411"/>
    <cellStyle name="Note 5 7 3 7" xfId="37412"/>
    <cellStyle name="Note 5 7 3 8" xfId="37413"/>
    <cellStyle name="Note 5 7 4" xfId="10233"/>
    <cellStyle name="Note 5 7 4 2" xfId="10234"/>
    <cellStyle name="Note 5 7 4 3" xfId="10235"/>
    <cellStyle name="Note 5 7 4 4" xfId="10236"/>
    <cellStyle name="Note 5 7 4 5" xfId="10237"/>
    <cellStyle name="Note 5 7 4 6" xfId="37414"/>
    <cellStyle name="Note 5 7 4 7" xfId="37415"/>
    <cellStyle name="Note 5 7 4 8" xfId="37416"/>
    <cellStyle name="Note 5 7 5" xfId="10238"/>
    <cellStyle name="Note 5 7 5 2" xfId="10239"/>
    <cellStyle name="Note 5 7 5 3" xfId="10240"/>
    <cellStyle name="Note 5 7 5 4" xfId="10241"/>
    <cellStyle name="Note 5 7 5 5" xfId="10242"/>
    <cellStyle name="Note 5 7 5 6" xfId="37417"/>
    <cellStyle name="Note 5 7 5 7" xfId="37418"/>
    <cellStyle name="Note 5 7 5 8" xfId="37419"/>
    <cellStyle name="Note 5 7 6" xfId="10243"/>
    <cellStyle name="Note 5 7 6 2" xfId="10244"/>
    <cellStyle name="Note 5 7 6 3" xfId="10245"/>
    <cellStyle name="Note 5 7 6 4" xfId="10246"/>
    <cellStyle name="Note 5 7 6 5" xfId="10247"/>
    <cellStyle name="Note 5 7 6 6" xfId="37420"/>
    <cellStyle name="Note 5 7 6 7" xfId="37421"/>
    <cellStyle name="Note 5 7 6 8" xfId="37422"/>
    <cellStyle name="Note 5 7 7" xfId="10248"/>
    <cellStyle name="Note 5 7 8" xfId="10249"/>
    <cellStyle name="Note 5 7 9" xfId="10250"/>
    <cellStyle name="Note 5 8" xfId="10251"/>
    <cellStyle name="Note 5 8 10" xfId="10252"/>
    <cellStyle name="Note 5 8 11" xfId="37423"/>
    <cellStyle name="Note 5 8 12" xfId="37424"/>
    <cellStyle name="Note 5 8 13" xfId="37425"/>
    <cellStyle name="Note 5 8 2" xfId="10253"/>
    <cellStyle name="Note 5 8 2 2" xfId="10254"/>
    <cellStyle name="Note 5 8 2 3" xfId="10255"/>
    <cellStyle name="Note 5 8 2 4" xfId="10256"/>
    <cellStyle name="Note 5 8 2 5" xfId="10257"/>
    <cellStyle name="Note 5 8 2 6" xfId="37426"/>
    <cellStyle name="Note 5 8 2 7" xfId="37427"/>
    <cellStyle name="Note 5 8 2 8" xfId="37428"/>
    <cellStyle name="Note 5 8 3" xfId="10258"/>
    <cellStyle name="Note 5 8 3 2" xfId="10259"/>
    <cellStyle name="Note 5 8 3 3" xfId="10260"/>
    <cellStyle name="Note 5 8 3 4" xfId="10261"/>
    <cellStyle name="Note 5 8 3 5" xfId="10262"/>
    <cellStyle name="Note 5 8 3 6" xfId="37429"/>
    <cellStyle name="Note 5 8 3 7" xfId="37430"/>
    <cellStyle name="Note 5 8 3 8" xfId="37431"/>
    <cellStyle name="Note 5 8 4" xfId="10263"/>
    <cellStyle name="Note 5 8 4 2" xfId="10264"/>
    <cellStyle name="Note 5 8 4 3" xfId="10265"/>
    <cellStyle name="Note 5 8 4 4" xfId="10266"/>
    <cellStyle name="Note 5 8 4 5" xfId="10267"/>
    <cellStyle name="Note 5 8 4 6" xfId="37432"/>
    <cellStyle name="Note 5 8 4 7" xfId="37433"/>
    <cellStyle name="Note 5 8 4 8" xfId="37434"/>
    <cellStyle name="Note 5 8 5" xfId="10268"/>
    <cellStyle name="Note 5 8 5 2" xfId="10269"/>
    <cellStyle name="Note 5 8 5 3" xfId="10270"/>
    <cellStyle name="Note 5 8 5 4" xfId="10271"/>
    <cellStyle name="Note 5 8 5 5" xfId="10272"/>
    <cellStyle name="Note 5 8 5 6" xfId="37435"/>
    <cellStyle name="Note 5 8 5 7" xfId="37436"/>
    <cellStyle name="Note 5 8 5 8" xfId="37437"/>
    <cellStyle name="Note 5 8 6" xfId="10273"/>
    <cellStyle name="Note 5 8 6 2" xfId="10274"/>
    <cellStyle name="Note 5 8 6 3" xfId="10275"/>
    <cellStyle name="Note 5 8 6 4" xfId="10276"/>
    <cellStyle name="Note 5 8 6 5" xfId="10277"/>
    <cellStyle name="Note 5 8 6 6" xfId="37438"/>
    <cellStyle name="Note 5 8 6 7" xfId="37439"/>
    <cellStyle name="Note 5 8 6 8" xfId="37440"/>
    <cellStyle name="Note 5 8 7" xfId="10278"/>
    <cellStyle name="Note 5 8 8" xfId="10279"/>
    <cellStyle name="Note 5 8 9" xfId="10280"/>
    <cellStyle name="Note 5 9" xfId="10281"/>
    <cellStyle name="Note 5 9 10" xfId="10282"/>
    <cellStyle name="Note 5 9 11" xfId="37441"/>
    <cellStyle name="Note 5 9 12" xfId="37442"/>
    <cellStyle name="Note 5 9 13" xfId="37443"/>
    <cellStyle name="Note 5 9 2" xfId="10283"/>
    <cellStyle name="Note 5 9 2 2" xfId="10284"/>
    <cellStyle name="Note 5 9 2 3" xfId="10285"/>
    <cellStyle name="Note 5 9 2 4" xfId="10286"/>
    <cellStyle name="Note 5 9 2 5" xfId="10287"/>
    <cellStyle name="Note 5 9 2 6" xfId="37444"/>
    <cellStyle name="Note 5 9 2 7" xfId="37445"/>
    <cellStyle name="Note 5 9 2 8" xfId="37446"/>
    <cellStyle name="Note 5 9 3" xfId="10288"/>
    <cellStyle name="Note 5 9 3 2" xfId="10289"/>
    <cellStyle name="Note 5 9 3 3" xfId="10290"/>
    <cellStyle name="Note 5 9 3 4" xfId="10291"/>
    <cellStyle name="Note 5 9 3 5" xfId="10292"/>
    <cellStyle name="Note 5 9 3 6" xfId="37447"/>
    <cellStyle name="Note 5 9 3 7" xfId="37448"/>
    <cellStyle name="Note 5 9 3 8" xfId="37449"/>
    <cellStyle name="Note 5 9 4" xfId="10293"/>
    <cellStyle name="Note 5 9 4 2" xfId="10294"/>
    <cellStyle name="Note 5 9 4 3" xfId="10295"/>
    <cellStyle name="Note 5 9 4 4" xfId="10296"/>
    <cellStyle name="Note 5 9 4 5" xfId="10297"/>
    <cellStyle name="Note 5 9 4 6" xfId="37450"/>
    <cellStyle name="Note 5 9 4 7" xfId="37451"/>
    <cellStyle name="Note 5 9 4 8" xfId="37452"/>
    <cellStyle name="Note 5 9 5" xfId="10298"/>
    <cellStyle name="Note 5 9 5 2" xfId="10299"/>
    <cellStyle name="Note 5 9 5 3" xfId="10300"/>
    <cellStyle name="Note 5 9 5 4" xfId="10301"/>
    <cellStyle name="Note 5 9 5 5" xfId="10302"/>
    <cellStyle name="Note 5 9 5 6" xfId="37453"/>
    <cellStyle name="Note 5 9 5 7" xfId="37454"/>
    <cellStyle name="Note 5 9 5 8" xfId="37455"/>
    <cellStyle name="Note 5 9 6" xfId="10303"/>
    <cellStyle name="Note 5 9 6 2" xfId="10304"/>
    <cellStyle name="Note 5 9 6 3" xfId="10305"/>
    <cellStyle name="Note 5 9 6 4" xfId="10306"/>
    <cellStyle name="Note 5 9 6 5" xfId="10307"/>
    <cellStyle name="Note 5 9 6 6" xfId="37456"/>
    <cellStyle name="Note 5 9 6 7" xfId="37457"/>
    <cellStyle name="Note 5 9 6 8" xfId="37458"/>
    <cellStyle name="Note 5 9 7" xfId="10308"/>
    <cellStyle name="Note 5 9 8" xfId="10309"/>
    <cellStyle name="Note 5 9 9" xfId="10310"/>
    <cellStyle name="Note 50" xfId="10311"/>
    <cellStyle name="Note 50 10" xfId="10312"/>
    <cellStyle name="Note 50 11" xfId="10313"/>
    <cellStyle name="Note 50 12" xfId="37459"/>
    <cellStyle name="Note 50 13" xfId="37460"/>
    <cellStyle name="Note 50 14" xfId="37461"/>
    <cellStyle name="Note 50 2" xfId="10314"/>
    <cellStyle name="Note 50 2 10" xfId="10315"/>
    <cellStyle name="Note 50 2 11" xfId="37462"/>
    <cellStyle name="Note 50 2 12" xfId="37463"/>
    <cellStyle name="Note 50 2 13" xfId="37464"/>
    <cellStyle name="Note 50 2 2" xfId="10316"/>
    <cellStyle name="Note 50 2 2 2" xfId="10317"/>
    <cellStyle name="Note 50 2 2 3" xfId="10318"/>
    <cellStyle name="Note 50 2 2 4" xfId="10319"/>
    <cellStyle name="Note 50 2 2 5" xfId="10320"/>
    <cellStyle name="Note 50 2 2 6" xfId="37465"/>
    <cellStyle name="Note 50 2 2 7" xfId="37466"/>
    <cellStyle name="Note 50 2 2 8" xfId="37467"/>
    <cellStyle name="Note 50 2 3" xfId="10321"/>
    <cellStyle name="Note 50 2 3 2" xfId="10322"/>
    <cellStyle name="Note 50 2 3 3" xfId="10323"/>
    <cellStyle name="Note 50 2 3 4" xfId="10324"/>
    <cellStyle name="Note 50 2 3 5" xfId="10325"/>
    <cellStyle name="Note 50 2 3 6" xfId="37468"/>
    <cellStyle name="Note 50 2 3 7" xfId="37469"/>
    <cellStyle name="Note 50 2 3 8" xfId="37470"/>
    <cellStyle name="Note 50 2 4" xfId="10326"/>
    <cellStyle name="Note 50 2 4 2" xfId="10327"/>
    <cellStyle name="Note 50 2 4 3" xfId="10328"/>
    <cellStyle name="Note 50 2 4 4" xfId="10329"/>
    <cellStyle name="Note 50 2 4 5" xfId="10330"/>
    <cellStyle name="Note 50 2 4 6" xfId="37471"/>
    <cellStyle name="Note 50 2 4 7" xfId="37472"/>
    <cellStyle name="Note 50 2 4 8" xfId="37473"/>
    <cellStyle name="Note 50 2 5" xfId="10331"/>
    <cellStyle name="Note 50 2 5 2" xfId="10332"/>
    <cellStyle name="Note 50 2 5 3" xfId="10333"/>
    <cellStyle name="Note 50 2 5 4" xfId="10334"/>
    <cellStyle name="Note 50 2 5 5" xfId="10335"/>
    <cellStyle name="Note 50 2 5 6" xfId="37474"/>
    <cellStyle name="Note 50 2 5 7" xfId="37475"/>
    <cellStyle name="Note 50 2 5 8" xfId="37476"/>
    <cellStyle name="Note 50 2 6" xfId="10336"/>
    <cellStyle name="Note 50 2 6 2" xfId="10337"/>
    <cellStyle name="Note 50 2 6 3" xfId="10338"/>
    <cellStyle name="Note 50 2 6 4" xfId="10339"/>
    <cellStyle name="Note 50 2 6 5" xfId="10340"/>
    <cellStyle name="Note 50 2 6 6" xfId="37477"/>
    <cellStyle name="Note 50 2 6 7" xfId="37478"/>
    <cellStyle name="Note 50 2 6 8" xfId="37479"/>
    <cellStyle name="Note 50 2 7" xfId="10341"/>
    <cellStyle name="Note 50 2 8" xfId="10342"/>
    <cellStyle name="Note 50 2 9" xfId="10343"/>
    <cellStyle name="Note 50 3" xfId="10344"/>
    <cellStyle name="Note 50 3 2" xfId="10345"/>
    <cellStyle name="Note 50 3 3" xfId="10346"/>
    <cellStyle name="Note 50 3 4" xfId="10347"/>
    <cellStyle name="Note 50 3 5" xfId="10348"/>
    <cellStyle name="Note 50 3 6" xfId="37480"/>
    <cellStyle name="Note 50 3 7" xfId="37481"/>
    <cellStyle name="Note 50 3 8" xfId="37482"/>
    <cellStyle name="Note 50 4" xfId="10349"/>
    <cellStyle name="Note 50 4 2" xfId="10350"/>
    <cellStyle name="Note 50 4 3" xfId="10351"/>
    <cellStyle name="Note 50 4 4" xfId="10352"/>
    <cellStyle name="Note 50 4 5" xfId="10353"/>
    <cellStyle name="Note 50 4 6" xfId="37483"/>
    <cellStyle name="Note 50 4 7" xfId="37484"/>
    <cellStyle name="Note 50 4 8" xfId="37485"/>
    <cellStyle name="Note 50 5" xfId="10354"/>
    <cellStyle name="Note 50 5 2" xfId="10355"/>
    <cellStyle name="Note 50 5 3" xfId="10356"/>
    <cellStyle name="Note 50 5 4" xfId="10357"/>
    <cellStyle name="Note 50 5 5" xfId="10358"/>
    <cellStyle name="Note 50 5 6" xfId="37486"/>
    <cellStyle name="Note 50 5 7" xfId="37487"/>
    <cellStyle name="Note 50 5 8" xfId="37488"/>
    <cellStyle name="Note 50 6" xfId="10359"/>
    <cellStyle name="Note 50 6 2" xfId="10360"/>
    <cellStyle name="Note 50 6 3" xfId="10361"/>
    <cellStyle name="Note 50 6 4" xfId="10362"/>
    <cellStyle name="Note 50 6 5" xfId="10363"/>
    <cellStyle name="Note 50 6 6" xfId="37489"/>
    <cellStyle name="Note 50 6 7" xfId="37490"/>
    <cellStyle name="Note 50 6 8" xfId="37491"/>
    <cellStyle name="Note 50 7" xfId="10364"/>
    <cellStyle name="Note 50 7 2" xfId="10365"/>
    <cellStyle name="Note 50 7 3" xfId="10366"/>
    <cellStyle name="Note 50 7 4" xfId="10367"/>
    <cellStyle name="Note 50 7 5" xfId="10368"/>
    <cellStyle name="Note 50 7 6" xfId="37492"/>
    <cellStyle name="Note 50 7 7" xfId="37493"/>
    <cellStyle name="Note 50 7 8" xfId="37494"/>
    <cellStyle name="Note 50 8" xfId="10369"/>
    <cellStyle name="Note 50 9" xfId="10370"/>
    <cellStyle name="Note 51" xfId="10371"/>
    <cellStyle name="Note 51 10" xfId="10372"/>
    <cellStyle name="Note 51 11" xfId="10373"/>
    <cellStyle name="Note 51 12" xfId="37495"/>
    <cellStyle name="Note 51 13" xfId="37496"/>
    <cellStyle name="Note 51 14" xfId="37497"/>
    <cellStyle name="Note 51 2" xfId="10374"/>
    <cellStyle name="Note 51 2 10" xfId="10375"/>
    <cellStyle name="Note 51 2 11" xfId="37498"/>
    <cellStyle name="Note 51 2 12" xfId="37499"/>
    <cellStyle name="Note 51 2 13" xfId="37500"/>
    <cellStyle name="Note 51 2 2" xfId="10376"/>
    <cellStyle name="Note 51 2 2 2" xfId="10377"/>
    <cellStyle name="Note 51 2 2 3" xfId="10378"/>
    <cellStyle name="Note 51 2 2 4" xfId="10379"/>
    <cellStyle name="Note 51 2 2 5" xfId="10380"/>
    <cellStyle name="Note 51 2 2 6" xfId="37501"/>
    <cellStyle name="Note 51 2 2 7" xfId="37502"/>
    <cellStyle name="Note 51 2 2 8" xfId="37503"/>
    <cellStyle name="Note 51 2 3" xfId="10381"/>
    <cellStyle name="Note 51 2 3 2" xfId="10382"/>
    <cellStyle name="Note 51 2 3 3" xfId="10383"/>
    <cellStyle name="Note 51 2 3 4" xfId="10384"/>
    <cellStyle name="Note 51 2 3 5" xfId="10385"/>
    <cellStyle name="Note 51 2 3 6" xfId="37504"/>
    <cellStyle name="Note 51 2 3 7" xfId="37505"/>
    <cellStyle name="Note 51 2 3 8" xfId="37506"/>
    <cellStyle name="Note 51 2 4" xfId="10386"/>
    <cellStyle name="Note 51 2 4 2" xfId="10387"/>
    <cellStyle name="Note 51 2 4 3" xfId="10388"/>
    <cellStyle name="Note 51 2 4 4" xfId="10389"/>
    <cellStyle name="Note 51 2 4 5" xfId="10390"/>
    <cellStyle name="Note 51 2 4 6" xfId="37507"/>
    <cellStyle name="Note 51 2 4 7" xfId="37508"/>
    <cellStyle name="Note 51 2 4 8" xfId="37509"/>
    <cellStyle name="Note 51 2 5" xfId="10391"/>
    <cellStyle name="Note 51 2 5 2" xfId="10392"/>
    <cellStyle name="Note 51 2 5 3" xfId="10393"/>
    <cellStyle name="Note 51 2 5 4" xfId="10394"/>
    <cellStyle name="Note 51 2 5 5" xfId="10395"/>
    <cellStyle name="Note 51 2 5 6" xfId="37510"/>
    <cellStyle name="Note 51 2 5 7" xfId="37511"/>
    <cellStyle name="Note 51 2 5 8" xfId="37512"/>
    <cellStyle name="Note 51 2 6" xfId="10396"/>
    <cellStyle name="Note 51 2 6 2" xfId="10397"/>
    <cellStyle name="Note 51 2 6 3" xfId="10398"/>
    <cellStyle name="Note 51 2 6 4" xfId="10399"/>
    <cellStyle name="Note 51 2 6 5" xfId="10400"/>
    <cellStyle name="Note 51 2 6 6" xfId="37513"/>
    <cellStyle name="Note 51 2 6 7" xfId="37514"/>
    <cellStyle name="Note 51 2 6 8" xfId="37515"/>
    <cellStyle name="Note 51 2 7" xfId="10401"/>
    <cellStyle name="Note 51 2 8" xfId="10402"/>
    <cellStyle name="Note 51 2 9" xfId="10403"/>
    <cellStyle name="Note 51 3" xfId="10404"/>
    <cellStyle name="Note 51 3 2" xfId="10405"/>
    <cellStyle name="Note 51 3 3" xfId="10406"/>
    <cellStyle name="Note 51 3 4" xfId="10407"/>
    <cellStyle name="Note 51 3 5" xfId="10408"/>
    <cellStyle name="Note 51 3 6" xfId="37516"/>
    <cellStyle name="Note 51 3 7" xfId="37517"/>
    <cellStyle name="Note 51 3 8" xfId="37518"/>
    <cellStyle name="Note 51 4" xfId="10409"/>
    <cellStyle name="Note 51 4 2" xfId="10410"/>
    <cellStyle name="Note 51 4 3" xfId="10411"/>
    <cellStyle name="Note 51 4 4" xfId="10412"/>
    <cellStyle name="Note 51 4 5" xfId="10413"/>
    <cellStyle name="Note 51 4 6" xfId="37519"/>
    <cellStyle name="Note 51 4 7" xfId="37520"/>
    <cellStyle name="Note 51 4 8" xfId="37521"/>
    <cellStyle name="Note 51 5" xfId="10414"/>
    <cellStyle name="Note 51 5 2" xfId="10415"/>
    <cellStyle name="Note 51 5 3" xfId="10416"/>
    <cellStyle name="Note 51 5 4" xfId="10417"/>
    <cellStyle name="Note 51 5 5" xfId="10418"/>
    <cellStyle name="Note 51 5 6" xfId="37522"/>
    <cellStyle name="Note 51 5 7" xfId="37523"/>
    <cellStyle name="Note 51 5 8" xfId="37524"/>
    <cellStyle name="Note 51 6" xfId="10419"/>
    <cellStyle name="Note 51 6 2" xfId="10420"/>
    <cellStyle name="Note 51 6 3" xfId="10421"/>
    <cellStyle name="Note 51 6 4" xfId="10422"/>
    <cellStyle name="Note 51 6 5" xfId="10423"/>
    <cellStyle name="Note 51 6 6" xfId="37525"/>
    <cellStyle name="Note 51 6 7" xfId="37526"/>
    <cellStyle name="Note 51 6 8" xfId="37527"/>
    <cellStyle name="Note 51 7" xfId="10424"/>
    <cellStyle name="Note 51 7 2" xfId="10425"/>
    <cellStyle name="Note 51 7 3" xfId="10426"/>
    <cellStyle name="Note 51 7 4" xfId="10427"/>
    <cellStyle name="Note 51 7 5" xfId="10428"/>
    <cellStyle name="Note 51 7 6" xfId="37528"/>
    <cellStyle name="Note 51 7 7" xfId="37529"/>
    <cellStyle name="Note 51 7 8" xfId="37530"/>
    <cellStyle name="Note 51 8" xfId="10429"/>
    <cellStyle name="Note 51 9" xfId="10430"/>
    <cellStyle name="Note 52" xfId="10431"/>
    <cellStyle name="Note 52 10" xfId="10432"/>
    <cellStyle name="Note 52 11" xfId="10433"/>
    <cellStyle name="Note 52 12" xfId="37531"/>
    <cellStyle name="Note 52 13" xfId="37532"/>
    <cellStyle name="Note 52 14" xfId="37533"/>
    <cellStyle name="Note 52 2" xfId="10434"/>
    <cellStyle name="Note 52 2 10" xfId="10435"/>
    <cellStyle name="Note 52 2 11" xfId="37534"/>
    <cellStyle name="Note 52 2 12" xfId="37535"/>
    <cellStyle name="Note 52 2 13" xfId="37536"/>
    <cellStyle name="Note 52 2 2" xfId="10436"/>
    <cellStyle name="Note 52 2 2 2" xfId="10437"/>
    <cellStyle name="Note 52 2 2 3" xfId="10438"/>
    <cellStyle name="Note 52 2 2 4" xfId="10439"/>
    <cellStyle name="Note 52 2 2 5" xfId="10440"/>
    <cellStyle name="Note 52 2 2 6" xfId="37537"/>
    <cellStyle name="Note 52 2 2 7" xfId="37538"/>
    <cellStyle name="Note 52 2 2 8" xfId="37539"/>
    <cellStyle name="Note 52 2 3" xfId="10441"/>
    <cellStyle name="Note 52 2 3 2" xfId="10442"/>
    <cellStyle name="Note 52 2 3 3" xfId="10443"/>
    <cellStyle name="Note 52 2 3 4" xfId="10444"/>
    <cellStyle name="Note 52 2 3 5" xfId="10445"/>
    <cellStyle name="Note 52 2 3 6" xfId="37540"/>
    <cellStyle name="Note 52 2 3 7" xfId="37541"/>
    <cellStyle name="Note 52 2 3 8" xfId="37542"/>
    <cellStyle name="Note 52 2 4" xfId="10446"/>
    <cellStyle name="Note 52 2 4 2" xfId="10447"/>
    <cellStyle name="Note 52 2 4 3" xfId="10448"/>
    <cellStyle name="Note 52 2 4 4" xfId="10449"/>
    <cellStyle name="Note 52 2 4 5" xfId="10450"/>
    <cellStyle name="Note 52 2 4 6" xfId="37543"/>
    <cellStyle name="Note 52 2 4 7" xfId="37544"/>
    <cellStyle name="Note 52 2 4 8" xfId="37545"/>
    <cellStyle name="Note 52 2 5" xfId="10451"/>
    <cellStyle name="Note 52 2 5 2" xfId="10452"/>
    <cellStyle name="Note 52 2 5 3" xfId="10453"/>
    <cellStyle name="Note 52 2 5 4" xfId="10454"/>
    <cellStyle name="Note 52 2 5 5" xfId="10455"/>
    <cellStyle name="Note 52 2 5 6" xfId="37546"/>
    <cellStyle name="Note 52 2 5 7" xfId="37547"/>
    <cellStyle name="Note 52 2 5 8" xfId="37548"/>
    <cellStyle name="Note 52 2 6" xfId="10456"/>
    <cellStyle name="Note 52 2 6 2" xfId="10457"/>
    <cellStyle name="Note 52 2 6 3" xfId="10458"/>
    <cellStyle name="Note 52 2 6 4" xfId="10459"/>
    <cellStyle name="Note 52 2 6 5" xfId="10460"/>
    <cellStyle name="Note 52 2 6 6" xfId="37549"/>
    <cellStyle name="Note 52 2 6 7" xfId="37550"/>
    <cellStyle name="Note 52 2 6 8" xfId="37551"/>
    <cellStyle name="Note 52 2 7" xfId="10461"/>
    <cellStyle name="Note 52 2 8" xfId="10462"/>
    <cellStyle name="Note 52 2 9" xfId="10463"/>
    <cellStyle name="Note 52 3" xfId="10464"/>
    <cellStyle name="Note 52 3 2" xfId="10465"/>
    <cellStyle name="Note 52 3 3" xfId="10466"/>
    <cellStyle name="Note 52 3 4" xfId="10467"/>
    <cellStyle name="Note 52 3 5" xfId="10468"/>
    <cellStyle name="Note 52 3 6" xfId="37552"/>
    <cellStyle name="Note 52 3 7" xfId="37553"/>
    <cellStyle name="Note 52 3 8" xfId="37554"/>
    <cellStyle name="Note 52 4" xfId="10469"/>
    <cellStyle name="Note 52 4 2" xfId="10470"/>
    <cellStyle name="Note 52 4 3" xfId="10471"/>
    <cellStyle name="Note 52 4 4" xfId="10472"/>
    <cellStyle name="Note 52 4 5" xfId="10473"/>
    <cellStyle name="Note 52 4 6" xfId="37555"/>
    <cellStyle name="Note 52 4 7" xfId="37556"/>
    <cellStyle name="Note 52 4 8" xfId="37557"/>
    <cellStyle name="Note 52 5" xfId="10474"/>
    <cellStyle name="Note 52 5 2" xfId="10475"/>
    <cellStyle name="Note 52 5 3" xfId="10476"/>
    <cellStyle name="Note 52 5 4" xfId="10477"/>
    <cellStyle name="Note 52 5 5" xfId="10478"/>
    <cellStyle name="Note 52 5 6" xfId="37558"/>
    <cellStyle name="Note 52 5 7" xfId="37559"/>
    <cellStyle name="Note 52 5 8" xfId="37560"/>
    <cellStyle name="Note 52 6" xfId="10479"/>
    <cellStyle name="Note 52 6 2" xfId="10480"/>
    <cellStyle name="Note 52 6 3" xfId="10481"/>
    <cellStyle name="Note 52 6 4" xfId="10482"/>
    <cellStyle name="Note 52 6 5" xfId="10483"/>
    <cellStyle name="Note 52 6 6" xfId="37561"/>
    <cellStyle name="Note 52 6 7" xfId="37562"/>
    <cellStyle name="Note 52 6 8" xfId="37563"/>
    <cellStyle name="Note 52 7" xfId="10484"/>
    <cellStyle name="Note 52 7 2" xfId="10485"/>
    <cellStyle name="Note 52 7 3" xfId="10486"/>
    <cellStyle name="Note 52 7 4" xfId="10487"/>
    <cellStyle name="Note 52 7 5" xfId="10488"/>
    <cellStyle name="Note 52 7 6" xfId="37564"/>
    <cellStyle name="Note 52 7 7" xfId="37565"/>
    <cellStyle name="Note 52 7 8" xfId="37566"/>
    <cellStyle name="Note 52 8" xfId="10489"/>
    <cellStyle name="Note 52 9" xfId="10490"/>
    <cellStyle name="Note 53" xfId="10491"/>
    <cellStyle name="Note 53 10" xfId="10492"/>
    <cellStyle name="Note 53 11" xfId="10493"/>
    <cellStyle name="Note 53 12" xfId="37567"/>
    <cellStyle name="Note 53 13" xfId="37568"/>
    <cellStyle name="Note 53 14" xfId="37569"/>
    <cellStyle name="Note 53 2" xfId="10494"/>
    <cellStyle name="Note 53 2 10" xfId="10495"/>
    <cellStyle name="Note 53 2 11" xfId="37570"/>
    <cellStyle name="Note 53 2 12" xfId="37571"/>
    <cellStyle name="Note 53 2 13" xfId="37572"/>
    <cellStyle name="Note 53 2 2" xfId="10496"/>
    <cellStyle name="Note 53 2 2 2" xfId="10497"/>
    <cellStyle name="Note 53 2 2 3" xfId="10498"/>
    <cellStyle name="Note 53 2 2 4" xfId="10499"/>
    <cellStyle name="Note 53 2 2 5" xfId="10500"/>
    <cellStyle name="Note 53 2 2 6" xfId="37573"/>
    <cellStyle name="Note 53 2 2 7" xfId="37574"/>
    <cellStyle name="Note 53 2 2 8" xfId="37575"/>
    <cellStyle name="Note 53 2 3" xfId="10501"/>
    <cellStyle name="Note 53 2 3 2" xfId="10502"/>
    <cellStyle name="Note 53 2 3 3" xfId="10503"/>
    <cellStyle name="Note 53 2 3 4" xfId="10504"/>
    <cellStyle name="Note 53 2 3 5" xfId="10505"/>
    <cellStyle name="Note 53 2 3 6" xfId="37576"/>
    <cellStyle name="Note 53 2 3 7" xfId="37577"/>
    <cellStyle name="Note 53 2 3 8" xfId="37578"/>
    <cellStyle name="Note 53 2 4" xfId="10506"/>
    <cellStyle name="Note 53 2 4 2" xfId="10507"/>
    <cellStyle name="Note 53 2 4 3" xfId="10508"/>
    <cellStyle name="Note 53 2 4 4" xfId="10509"/>
    <cellStyle name="Note 53 2 4 5" xfId="10510"/>
    <cellStyle name="Note 53 2 4 6" xfId="37579"/>
    <cellStyle name="Note 53 2 4 7" xfId="37580"/>
    <cellStyle name="Note 53 2 4 8" xfId="37581"/>
    <cellStyle name="Note 53 2 5" xfId="10511"/>
    <cellStyle name="Note 53 2 5 2" xfId="10512"/>
    <cellStyle name="Note 53 2 5 3" xfId="10513"/>
    <cellStyle name="Note 53 2 5 4" xfId="10514"/>
    <cellStyle name="Note 53 2 5 5" xfId="10515"/>
    <cellStyle name="Note 53 2 5 6" xfId="37582"/>
    <cellStyle name="Note 53 2 5 7" xfId="37583"/>
    <cellStyle name="Note 53 2 5 8" xfId="37584"/>
    <cellStyle name="Note 53 2 6" xfId="10516"/>
    <cellStyle name="Note 53 2 6 2" xfId="10517"/>
    <cellStyle name="Note 53 2 6 3" xfId="10518"/>
    <cellStyle name="Note 53 2 6 4" xfId="10519"/>
    <cellStyle name="Note 53 2 6 5" xfId="10520"/>
    <cellStyle name="Note 53 2 6 6" xfId="37585"/>
    <cellStyle name="Note 53 2 6 7" xfId="37586"/>
    <cellStyle name="Note 53 2 6 8" xfId="37587"/>
    <cellStyle name="Note 53 2 7" xfId="10521"/>
    <cellStyle name="Note 53 2 8" xfId="10522"/>
    <cellStyle name="Note 53 2 9" xfId="10523"/>
    <cellStyle name="Note 53 3" xfId="10524"/>
    <cellStyle name="Note 53 3 2" xfId="10525"/>
    <cellStyle name="Note 53 3 3" xfId="10526"/>
    <cellStyle name="Note 53 3 4" xfId="10527"/>
    <cellStyle name="Note 53 3 5" xfId="10528"/>
    <cellStyle name="Note 53 3 6" xfId="37588"/>
    <cellStyle name="Note 53 3 7" xfId="37589"/>
    <cellStyle name="Note 53 3 8" xfId="37590"/>
    <cellStyle name="Note 53 4" xfId="10529"/>
    <cellStyle name="Note 53 4 2" xfId="10530"/>
    <cellStyle name="Note 53 4 3" xfId="10531"/>
    <cellStyle name="Note 53 4 4" xfId="10532"/>
    <cellStyle name="Note 53 4 5" xfId="10533"/>
    <cellStyle name="Note 53 4 6" xfId="37591"/>
    <cellStyle name="Note 53 4 7" xfId="37592"/>
    <cellStyle name="Note 53 4 8" xfId="37593"/>
    <cellStyle name="Note 53 5" xfId="10534"/>
    <cellStyle name="Note 53 5 2" xfId="10535"/>
    <cellStyle name="Note 53 5 3" xfId="10536"/>
    <cellStyle name="Note 53 5 4" xfId="10537"/>
    <cellStyle name="Note 53 5 5" xfId="10538"/>
    <cellStyle name="Note 53 5 6" xfId="37594"/>
    <cellStyle name="Note 53 5 7" xfId="37595"/>
    <cellStyle name="Note 53 5 8" xfId="37596"/>
    <cellStyle name="Note 53 6" xfId="10539"/>
    <cellStyle name="Note 53 6 2" xfId="10540"/>
    <cellStyle name="Note 53 6 3" xfId="10541"/>
    <cellStyle name="Note 53 6 4" xfId="10542"/>
    <cellStyle name="Note 53 6 5" xfId="10543"/>
    <cellStyle name="Note 53 6 6" xfId="37597"/>
    <cellStyle name="Note 53 6 7" xfId="37598"/>
    <cellStyle name="Note 53 6 8" xfId="37599"/>
    <cellStyle name="Note 53 7" xfId="10544"/>
    <cellStyle name="Note 53 7 2" xfId="10545"/>
    <cellStyle name="Note 53 7 3" xfId="10546"/>
    <cellStyle name="Note 53 7 4" xfId="10547"/>
    <cellStyle name="Note 53 7 5" xfId="10548"/>
    <cellStyle name="Note 53 7 6" xfId="37600"/>
    <cellStyle name="Note 53 7 7" xfId="37601"/>
    <cellStyle name="Note 53 7 8" xfId="37602"/>
    <cellStyle name="Note 53 8" xfId="10549"/>
    <cellStyle name="Note 53 9" xfId="10550"/>
    <cellStyle name="Note 54" xfId="10551"/>
    <cellStyle name="Note 54 10" xfId="10552"/>
    <cellStyle name="Note 54 11" xfId="10553"/>
    <cellStyle name="Note 54 12" xfId="37603"/>
    <cellStyle name="Note 54 13" xfId="37604"/>
    <cellStyle name="Note 54 14" xfId="37605"/>
    <cellStyle name="Note 54 2" xfId="10554"/>
    <cellStyle name="Note 54 2 10" xfId="10555"/>
    <cellStyle name="Note 54 2 11" xfId="37606"/>
    <cellStyle name="Note 54 2 12" xfId="37607"/>
    <cellStyle name="Note 54 2 13" xfId="37608"/>
    <cellStyle name="Note 54 2 2" xfId="10556"/>
    <cellStyle name="Note 54 2 2 2" xfId="10557"/>
    <cellStyle name="Note 54 2 2 3" xfId="10558"/>
    <cellStyle name="Note 54 2 2 4" xfId="10559"/>
    <cellStyle name="Note 54 2 2 5" xfId="10560"/>
    <cellStyle name="Note 54 2 2 6" xfId="37609"/>
    <cellStyle name="Note 54 2 2 7" xfId="37610"/>
    <cellStyle name="Note 54 2 2 8" xfId="37611"/>
    <cellStyle name="Note 54 2 3" xfId="10561"/>
    <cellStyle name="Note 54 2 3 2" xfId="10562"/>
    <cellStyle name="Note 54 2 3 3" xfId="10563"/>
    <cellStyle name="Note 54 2 3 4" xfId="10564"/>
    <cellStyle name="Note 54 2 3 5" xfId="10565"/>
    <cellStyle name="Note 54 2 3 6" xfId="37612"/>
    <cellStyle name="Note 54 2 3 7" xfId="37613"/>
    <cellStyle name="Note 54 2 3 8" xfId="37614"/>
    <cellStyle name="Note 54 2 4" xfId="10566"/>
    <cellStyle name="Note 54 2 4 2" xfId="10567"/>
    <cellStyle name="Note 54 2 4 3" xfId="10568"/>
    <cellStyle name="Note 54 2 4 4" xfId="10569"/>
    <cellStyle name="Note 54 2 4 5" xfId="10570"/>
    <cellStyle name="Note 54 2 4 6" xfId="37615"/>
    <cellStyle name="Note 54 2 4 7" xfId="37616"/>
    <cellStyle name="Note 54 2 4 8" xfId="37617"/>
    <cellStyle name="Note 54 2 5" xfId="10571"/>
    <cellStyle name="Note 54 2 5 2" xfId="10572"/>
    <cellStyle name="Note 54 2 5 3" xfId="10573"/>
    <cellStyle name="Note 54 2 5 4" xfId="10574"/>
    <cellStyle name="Note 54 2 5 5" xfId="10575"/>
    <cellStyle name="Note 54 2 5 6" xfId="37618"/>
    <cellStyle name="Note 54 2 5 7" xfId="37619"/>
    <cellStyle name="Note 54 2 5 8" xfId="37620"/>
    <cellStyle name="Note 54 2 6" xfId="10576"/>
    <cellStyle name="Note 54 2 6 2" xfId="10577"/>
    <cellStyle name="Note 54 2 6 3" xfId="10578"/>
    <cellStyle name="Note 54 2 6 4" xfId="10579"/>
    <cellStyle name="Note 54 2 6 5" xfId="10580"/>
    <cellStyle name="Note 54 2 6 6" xfId="37621"/>
    <cellStyle name="Note 54 2 6 7" xfId="37622"/>
    <cellStyle name="Note 54 2 6 8" xfId="37623"/>
    <cellStyle name="Note 54 2 7" xfId="10581"/>
    <cellStyle name="Note 54 2 8" xfId="10582"/>
    <cellStyle name="Note 54 2 9" xfId="10583"/>
    <cellStyle name="Note 54 3" xfId="10584"/>
    <cellStyle name="Note 54 3 2" xfId="10585"/>
    <cellStyle name="Note 54 3 3" xfId="10586"/>
    <cellStyle name="Note 54 3 4" xfId="10587"/>
    <cellStyle name="Note 54 3 5" xfId="10588"/>
    <cellStyle name="Note 54 3 6" xfId="37624"/>
    <cellStyle name="Note 54 3 7" xfId="37625"/>
    <cellStyle name="Note 54 3 8" xfId="37626"/>
    <cellStyle name="Note 54 4" xfId="10589"/>
    <cellStyle name="Note 54 4 2" xfId="10590"/>
    <cellStyle name="Note 54 4 3" xfId="10591"/>
    <cellStyle name="Note 54 4 4" xfId="10592"/>
    <cellStyle name="Note 54 4 5" xfId="10593"/>
    <cellStyle name="Note 54 4 6" xfId="37627"/>
    <cellStyle name="Note 54 4 7" xfId="37628"/>
    <cellStyle name="Note 54 4 8" xfId="37629"/>
    <cellStyle name="Note 54 5" xfId="10594"/>
    <cellStyle name="Note 54 5 2" xfId="10595"/>
    <cellStyle name="Note 54 5 3" xfId="10596"/>
    <cellStyle name="Note 54 5 4" xfId="10597"/>
    <cellStyle name="Note 54 5 5" xfId="10598"/>
    <cellStyle name="Note 54 5 6" xfId="37630"/>
    <cellStyle name="Note 54 5 7" xfId="37631"/>
    <cellStyle name="Note 54 5 8" xfId="37632"/>
    <cellStyle name="Note 54 6" xfId="10599"/>
    <cellStyle name="Note 54 6 2" xfId="10600"/>
    <cellStyle name="Note 54 6 3" xfId="10601"/>
    <cellStyle name="Note 54 6 4" xfId="10602"/>
    <cellStyle name="Note 54 6 5" xfId="10603"/>
    <cellStyle name="Note 54 6 6" xfId="37633"/>
    <cellStyle name="Note 54 6 7" xfId="37634"/>
    <cellStyle name="Note 54 6 8" xfId="37635"/>
    <cellStyle name="Note 54 7" xfId="10604"/>
    <cellStyle name="Note 54 7 2" xfId="10605"/>
    <cellStyle name="Note 54 7 3" xfId="10606"/>
    <cellStyle name="Note 54 7 4" xfId="10607"/>
    <cellStyle name="Note 54 7 5" xfId="10608"/>
    <cellStyle name="Note 54 7 6" xfId="37636"/>
    <cellStyle name="Note 54 7 7" xfId="37637"/>
    <cellStyle name="Note 54 7 8" xfId="37638"/>
    <cellStyle name="Note 54 8" xfId="10609"/>
    <cellStyle name="Note 54 9" xfId="10610"/>
    <cellStyle name="Note 55" xfId="10611"/>
    <cellStyle name="Note 55 10" xfId="10612"/>
    <cellStyle name="Note 55 11" xfId="10613"/>
    <cellStyle name="Note 55 12" xfId="37639"/>
    <cellStyle name="Note 55 13" xfId="37640"/>
    <cellStyle name="Note 55 14" xfId="37641"/>
    <cellStyle name="Note 55 2" xfId="10614"/>
    <cellStyle name="Note 55 2 10" xfId="10615"/>
    <cellStyle name="Note 55 2 11" xfId="37642"/>
    <cellStyle name="Note 55 2 12" xfId="37643"/>
    <cellStyle name="Note 55 2 13" xfId="37644"/>
    <cellStyle name="Note 55 2 2" xfId="10616"/>
    <cellStyle name="Note 55 2 2 2" xfId="10617"/>
    <cellStyle name="Note 55 2 2 3" xfId="10618"/>
    <cellStyle name="Note 55 2 2 4" xfId="10619"/>
    <cellStyle name="Note 55 2 2 5" xfId="10620"/>
    <cellStyle name="Note 55 2 2 6" xfId="37645"/>
    <cellStyle name="Note 55 2 2 7" xfId="37646"/>
    <cellStyle name="Note 55 2 2 8" xfId="37647"/>
    <cellStyle name="Note 55 2 3" xfId="10621"/>
    <cellStyle name="Note 55 2 3 2" xfId="10622"/>
    <cellStyle name="Note 55 2 3 3" xfId="10623"/>
    <cellStyle name="Note 55 2 3 4" xfId="10624"/>
    <cellStyle name="Note 55 2 3 5" xfId="10625"/>
    <cellStyle name="Note 55 2 3 6" xfId="37648"/>
    <cellStyle name="Note 55 2 3 7" xfId="37649"/>
    <cellStyle name="Note 55 2 3 8" xfId="37650"/>
    <cellStyle name="Note 55 2 4" xfId="10626"/>
    <cellStyle name="Note 55 2 4 2" xfId="10627"/>
    <cellStyle name="Note 55 2 4 3" xfId="10628"/>
    <cellStyle name="Note 55 2 4 4" xfId="10629"/>
    <cellStyle name="Note 55 2 4 5" xfId="10630"/>
    <cellStyle name="Note 55 2 4 6" xfId="37651"/>
    <cellStyle name="Note 55 2 4 7" xfId="37652"/>
    <cellStyle name="Note 55 2 4 8" xfId="37653"/>
    <cellStyle name="Note 55 2 5" xfId="10631"/>
    <cellStyle name="Note 55 2 5 2" xfId="10632"/>
    <cellStyle name="Note 55 2 5 3" xfId="10633"/>
    <cellStyle name="Note 55 2 5 4" xfId="10634"/>
    <cellStyle name="Note 55 2 5 5" xfId="10635"/>
    <cellStyle name="Note 55 2 5 6" xfId="37654"/>
    <cellStyle name="Note 55 2 5 7" xfId="37655"/>
    <cellStyle name="Note 55 2 5 8" xfId="37656"/>
    <cellStyle name="Note 55 2 6" xfId="10636"/>
    <cellStyle name="Note 55 2 6 2" xfId="10637"/>
    <cellStyle name="Note 55 2 6 3" xfId="10638"/>
    <cellStyle name="Note 55 2 6 4" xfId="10639"/>
    <cellStyle name="Note 55 2 6 5" xfId="10640"/>
    <cellStyle name="Note 55 2 6 6" xfId="37657"/>
    <cellStyle name="Note 55 2 6 7" xfId="37658"/>
    <cellStyle name="Note 55 2 6 8" xfId="37659"/>
    <cellStyle name="Note 55 2 7" xfId="10641"/>
    <cellStyle name="Note 55 2 8" xfId="10642"/>
    <cellStyle name="Note 55 2 9" xfId="10643"/>
    <cellStyle name="Note 55 3" xfId="10644"/>
    <cellStyle name="Note 55 3 2" xfId="10645"/>
    <cellStyle name="Note 55 3 3" xfId="10646"/>
    <cellStyle name="Note 55 3 4" xfId="10647"/>
    <cellStyle name="Note 55 3 5" xfId="10648"/>
    <cellStyle name="Note 55 3 6" xfId="37660"/>
    <cellStyle name="Note 55 3 7" xfId="37661"/>
    <cellStyle name="Note 55 3 8" xfId="37662"/>
    <cellStyle name="Note 55 4" xfId="10649"/>
    <cellStyle name="Note 55 4 2" xfId="10650"/>
    <cellStyle name="Note 55 4 3" xfId="10651"/>
    <cellStyle name="Note 55 4 4" xfId="10652"/>
    <cellStyle name="Note 55 4 5" xfId="10653"/>
    <cellStyle name="Note 55 4 6" xfId="37663"/>
    <cellStyle name="Note 55 4 7" xfId="37664"/>
    <cellStyle name="Note 55 4 8" xfId="37665"/>
    <cellStyle name="Note 55 5" xfId="10654"/>
    <cellStyle name="Note 55 5 2" xfId="10655"/>
    <cellStyle name="Note 55 5 3" xfId="10656"/>
    <cellStyle name="Note 55 5 4" xfId="10657"/>
    <cellStyle name="Note 55 5 5" xfId="10658"/>
    <cellStyle name="Note 55 5 6" xfId="37666"/>
    <cellStyle name="Note 55 5 7" xfId="37667"/>
    <cellStyle name="Note 55 5 8" xfId="37668"/>
    <cellStyle name="Note 55 6" xfId="10659"/>
    <cellStyle name="Note 55 6 2" xfId="10660"/>
    <cellStyle name="Note 55 6 3" xfId="10661"/>
    <cellStyle name="Note 55 6 4" xfId="10662"/>
    <cellStyle name="Note 55 6 5" xfId="10663"/>
    <cellStyle name="Note 55 6 6" xfId="37669"/>
    <cellStyle name="Note 55 6 7" xfId="37670"/>
    <cellStyle name="Note 55 6 8" xfId="37671"/>
    <cellStyle name="Note 55 7" xfId="10664"/>
    <cellStyle name="Note 55 7 2" xfId="10665"/>
    <cellStyle name="Note 55 7 3" xfId="10666"/>
    <cellStyle name="Note 55 7 4" xfId="10667"/>
    <cellStyle name="Note 55 7 5" xfId="10668"/>
    <cellStyle name="Note 55 7 6" xfId="37672"/>
    <cellStyle name="Note 55 7 7" xfId="37673"/>
    <cellStyle name="Note 55 7 8" xfId="37674"/>
    <cellStyle name="Note 55 8" xfId="10669"/>
    <cellStyle name="Note 55 9" xfId="10670"/>
    <cellStyle name="Note 56" xfId="10671"/>
    <cellStyle name="Note 56 10" xfId="10672"/>
    <cellStyle name="Note 56 11" xfId="10673"/>
    <cellStyle name="Note 56 12" xfId="37675"/>
    <cellStyle name="Note 56 13" xfId="37676"/>
    <cellStyle name="Note 56 14" xfId="37677"/>
    <cellStyle name="Note 56 2" xfId="10674"/>
    <cellStyle name="Note 56 2 10" xfId="10675"/>
    <cellStyle name="Note 56 2 11" xfId="37678"/>
    <cellStyle name="Note 56 2 12" xfId="37679"/>
    <cellStyle name="Note 56 2 13" xfId="37680"/>
    <cellStyle name="Note 56 2 2" xfId="10676"/>
    <cellStyle name="Note 56 2 2 2" xfId="10677"/>
    <cellStyle name="Note 56 2 2 3" xfId="10678"/>
    <cellStyle name="Note 56 2 2 4" xfId="10679"/>
    <cellStyle name="Note 56 2 2 5" xfId="10680"/>
    <cellStyle name="Note 56 2 2 6" xfId="37681"/>
    <cellStyle name="Note 56 2 2 7" xfId="37682"/>
    <cellStyle name="Note 56 2 2 8" xfId="37683"/>
    <cellStyle name="Note 56 2 3" xfId="10681"/>
    <cellStyle name="Note 56 2 3 2" xfId="10682"/>
    <cellStyle name="Note 56 2 3 3" xfId="10683"/>
    <cellStyle name="Note 56 2 3 4" xfId="10684"/>
    <cellStyle name="Note 56 2 3 5" xfId="10685"/>
    <cellStyle name="Note 56 2 3 6" xfId="37684"/>
    <cellStyle name="Note 56 2 3 7" xfId="37685"/>
    <cellStyle name="Note 56 2 3 8" xfId="37686"/>
    <cellStyle name="Note 56 2 4" xfId="10686"/>
    <cellStyle name="Note 56 2 4 2" xfId="10687"/>
    <cellStyle name="Note 56 2 4 3" xfId="10688"/>
    <cellStyle name="Note 56 2 4 4" xfId="10689"/>
    <cellStyle name="Note 56 2 4 5" xfId="10690"/>
    <cellStyle name="Note 56 2 4 6" xfId="37687"/>
    <cellStyle name="Note 56 2 4 7" xfId="37688"/>
    <cellStyle name="Note 56 2 4 8" xfId="37689"/>
    <cellStyle name="Note 56 2 5" xfId="10691"/>
    <cellStyle name="Note 56 2 5 2" xfId="10692"/>
    <cellStyle name="Note 56 2 5 3" xfId="10693"/>
    <cellStyle name="Note 56 2 5 4" xfId="10694"/>
    <cellStyle name="Note 56 2 5 5" xfId="10695"/>
    <cellStyle name="Note 56 2 5 6" xfId="37690"/>
    <cellStyle name="Note 56 2 5 7" xfId="37691"/>
    <cellStyle name="Note 56 2 5 8" xfId="37692"/>
    <cellStyle name="Note 56 2 6" xfId="10696"/>
    <cellStyle name="Note 56 2 6 2" xfId="10697"/>
    <cellStyle name="Note 56 2 6 3" xfId="10698"/>
    <cellStyle name="Note 56 2 6 4" xfId="10699"/>
    <cellStyle name="Note 56 2 6 5" xfId="10700"/>
    <cellStyle name="Note 56 2 6 6" xfId="37693"/>
    <cellStyle name="Note 56 2 6 7" xfId="37694"/>
    <cellStyle name="Note 56 2 6 8" xfId="37695"/>
    <cellStyle name="Note 56 2 7" xfId="10701"/>
    <cellStyle name="Note 56 2 8" xfId="10702"/>
    <cellStyle name="Note 56 2 9" xfId="10703"/>
    <cellStyle name="Note 56 3" xfId="10704"/>
    <cellStyle name="Note 56 3 2" xfId="10705"/>
    <cellStyle name="Note 56 3 3" xfId="10706"/>
    <cellStyle name="Note 56 3 4" xfId="10707"/>
    <cellStyle name="Note 56 3 5" xfId="10708"/>
    <cellStyle name="Note 56 3 6" xfId="37696"/>
    <cellStyle name="Note 56 3 7" xfId="37697"/>
    <cellStyle name="Note 56 3 8" xfId="37698"/>
    <cellStyle name="Note 56 4" xfId="10709"/>
    <cellStyle name="Note 56 4 2" xfId="10710"/>
    <cellStyle name="Note 56 4 3" xfId="10711"/>
    <cellStyle name="Note 56 4 4" xfId="10712"/>
    <cellStyle name="Note 56 4 5" xfId="10713"/>
    <cellStyle name="Note 56 4 6" xfId="37699"/>
    <cellStyle name="Note 56 4 7" xfId="37700"/>
    <cellStyle name="Note 56 4 8" xfId="37701"/>
    <cellStyle name="Note 56 5" xfId="10714"/>
    <cellStyle name="Note 56 5 2" xfId="10715"/>
    <cellStyle name="Note 56 5 3" xfId="10716"/>
    <cellStyle name="Note 56 5 4" xfId="10717"/>
    <cellStyle name="Note 56 5 5" xfId="10718"/>
    <cellStyle name="Note 56 5 6" xfId="37702"/>
    <cellStyle name="Note 56 5 7" xfId="37703"/>
    <cellStyle name="Note 56 5 8" xfId="37704"/>
    <cellStyle name="Note 56 6" xfId="10719"/>
    <cellStyle name="Note 56 6 2" xfId="10720"/>
    <cellStyle name="Note 56 6 3" xfId="10721"/>
    <cellStyle name="Note 56 6 4" xfId="10722"/>
    <cellStyle name="Note 56 6 5" xfId="10723"/>
    <cellStyle name="Note 56 6 6" xfId="37705"/>
    <cellStyle name="Note 56 6 7" xfId="37706"/>
    <cellStyle name="Note 56 6 8" xfId="37707"/>
    <cellStyle name="Note 56 7" xfId="10724"/>
    <cellStyle name="Note 56 7 2" xfId="10725"/>
    <cellStyle name="Note 56 7 3" xfId="10726"/>
    <cellStyle name="Note 56 7 4" xfId="10727"/>
    <cellStyle name="Note 56 7 5" xfId="10728"/>
    <cellStyle name="Note 56 7 6" xfId="37708"/>
    <cellStyle name="Note 56 7 7" xfId="37709"/>
    <cellStyle name="Note 56 7 8" xfId="37710"/>
    <cellStyle name="Note 56 8" xfId="10729"/>
    <cellStyle name="Note 56 9" xfId="10730"/>
    <cellStyle name="Note 57" xfId="10731"/>
    <cellStyle name="Note 57 10" xfId="10732"/>
    <cellStyle name="Note 57 11" xfId="10733"/>
    <cellStyle name="Note 57 12" xfId="37711"/>
    <cellStyle name="Note 57 13" xfId="37712"/>
    <cellStyle name="Note 57 14" xfId="37713"/>
    <cellStyle name="Note 57 2" xfId="10734"/>
    <cellStyle name="Note 57 2 10" xfId="10735"/>
    <cellStyle name="Note 57 2 11" xfId="37714"/>
    <cellStyle name="Note 57 2 12" xfId="37715"/>
    <cellStyle name="Note 57 2 13" xfId="37716"/>
    <cellStyle name="Note 57 2 2" xfId="10736"/>
    <cellStyle name="Note 57 2 2 2" xfId="10737"/>
    <cellStyle name="Note 57 2 2 3" xfId="10738"/>
    <cellStyle name="Note 57 2 2 4" xfId="10739"/>
    <cellStyle name="Note 57 2 2 5" xfId="10740"/>
    <cellStyle name="Note 57 2 2 6" xfId="37717"/>
    <cellStyle name="Note 57 2 2 7" xfId="37718"/>
    <cellStyle name="Note 57 2 2 8" xfId="37719"/>
    <cellStyle name="Note 57 2 3" xfId="10741"/>
    <cellStyle name="Note 57 2 3 2" xfId="10742"/>
    <cellStyle name="Note 57 2 3 3" xfId="10743"/>
    <cellStyle name="Note 57 2 3 4" xfId="10744"/>
    <cellStyle name="Note 57 2 3 5" xfId="10745"/>
    <cellStyle name="Note 57 2 3 6" xfId="37720"/>
    <cellStyle name="Note 57 2 3 7" xfId="37721"/>
    <cellStyle name="Note 57 2 3 8" xfId="37722"/>
    <cellStyle name="Note 57 2 4" xfId="10746"/>
    <cellStyle name="Note 57 2 4 2" xfId="10747"/>
    <cellStyle name="Note 57 2 4 3" xfId="10748"/>
    <cellStyle name="Note 57 2 4 4" xfId="10749"/>
    <cellStyle name="Note 57 2 4 5" xfId="10750"/>
    <cellStyle name="Note 57 2 4 6" xfId="37723"/>
    <cellStyle name="Note 57 2 4 7" xfId="37724"/>
    <cellStyle name="Note 57 2 4 8" xfId="37725"/>
    <cellStyle name="Note 57 2 5" xfId="10751"/>
    <cellStyle name="Note 57 2 5 2" xfId="10752"/>
    <cellStyle name="Note 57 2 5 3" xfId="10753"/>
    <cellStyle name="Note 57 2 5 4" xfId="10754"/>
    <cellStyle name="Note 57 2 5 5" xfId="10755"/>
    <cellStyle name="Note 57 2 5 6" xfId="37726"/>
    <cellStyle name="Note 57 2 5 7" xfId="37727"/>
    <cellStyle name="Note 57 2 5 8" xfId="37728"/>
    <cellStyle name="Note 57 2 6" xfId="10756"/>
    <cellStyle name="Note 57 2 6 2" xfId="10757"/>
    <cellStyle name="Note 57 2 6 3" xfId="10758"/>
    <cellStyle name="Note 57 2 6 4" xfId="10759"/>
    <cellStyle name="Note 57 2 6 5" xfId="10760"/>
    <cellStyle name="Note 57 2 6 6" xfId="37729"/>
    <cellStyle name="Note 57 2 6 7" xfId="37730"/>
    <cellStyle name="Note 57 2 6 8" xfId="37731"/>
    <cellStyle name="Note 57 2 7" xfId="10761"/>
    <cellStyle name="Note 57 2 8" xfId="10762"/>
    <cellStyle name="Note 57 2 9" xfId="10763"/>
    <cellStyle name="Note 57 3" xfId="10764"/>
    <cellStyle name="Note 57 3 2" xfId="10765"/>
    <cellStyle name="Note 57 3 3" xfId="10766"/>
    <cellStyle name="Note 57 3 4" xfId="10767"/>
    <cellStyle name="Note 57 3 5" xfId="10768"/>
    <cellStyle name="Note 57 3 6" xfId="37732"/>
    <cellStyle name="Note 57 3 7" xfId="37733"/>
    <cellStyle name="Note 57 3 8" xfId="37734"/>
    <cellStyle name="Note 57 4" xfId="10769"/>
    <cellStyle name="Note 57 4 2" xfId="10770"/>
    <cellStyle name="Note 57 4 3" xfId="10771"/>
    <cellStyle name="Note 57 4 4" xfId="10772"/>
    <cellStyle name="Note 57 4 5" xfId="10773"/>
    <cellStyle name="Note 57 4 6" xfId="37735"/>
    <cellStyle name="Note 57 4 7" xfId="37736"/>
    <cellStyle name="Note 57 4 8" xfId="37737"/>
    <cellStyle name="Note 57 5" xfId="10774"/>
    <cellStyle name="Note 57 5 2" xfId="10775"/>
    <cellStyle name="Note 57 5 3" xfId="10776"/>
    <cellStyle name="Note 57 5 4" xfId="10777"/>
    <cellStyle name="Note 57 5 5" xfId="10778"/>
    <cellStyle name="Note 57 5 6" xfId="37738"/>
    <cellStyle name="Note 57 5 7" xfId="37739"/>
    <cellStyle name="Note 57 5 8" xfId="37740"/>
    <cellStyle name="Note 57 6" xfId="10779"/>
    <cellStyle name="Note 57 6 2" xfId="10780"/>
    <cellStyle name="Note 57 6 3" xfId="10781"/>
    <cellStyle name="Note 57 6 4" xfId="10782"/>
    <cellStyle name="Note 57 6 5" xfId="10783"/>
    <cellStyle name="Note 57 6 6" xfId="37741"/>
    <cellStyle name="Note 57 6 7" xfId="37742"/>
    <cellStyle name="Note 57 6 8" xfId="37743"/>
    <cellStyle name="Note 57 7" xfId="10784"/>
    <cellStyle name="Note 57 7 2" xfId="10785"/>
    <cellStyle name="Note 57 7 3" xfId="10786"/>
    <cellStyle name="Note 57 7 4" xfId="10787"/>
    <cellStyle name="Note 57 7 5" xfId="10788"/>
    <cellStyle name="Note 57 7 6" xfId="37744"/>
    <cellStyle name="Note 57 7 7" xfId="37745"/>
    <cellStyle name="Note 57 7 8" xfId="37746"/>
    <cellStyle name="Note 57 8" xfId="10789"/>
    <cellStyle name="Note 57 9" xfId="10790"/>
    <cellStyle name="Note 58" xfId="10791"/>
    <cellStyle name="Note 58 10" xfId="10792"/>
    <cellStyle name="Note 58 11" xfId="10793"/>
    <cellStyle name="Note 58 12" xfId="37747"/>
    <cellStyle name="Note 58 13" xfId="37748"/>
    <cellStyle name="Note 58 14" xfId="37749"/>
    <cellStyle name="Note 58 2" xfId="10794"/>
    <cellStyle name="Note 58 2 10" xfId="10795"/>
    <cellStyle name="Note 58 2 11" xfId="37750"/>
    <cellStyle name="Note 58 2 12" xfId="37751"/>
    <cellStyle name="Note 58 2 13" xfId="37752"/>
    <cellStyle name="Note 58 2 2" xfId="10796"/>
    <cellStyle name="Note 58 2 2 2" xfId="10797"/>
    <cellStyle name="Note 58 2 2 3" xfId="10798"/>
    <cellStyle name="Note 58 2 2 4" xfId="10799"/>
    <cellStyle name="Note 58 2 2 5" xfId="10800"/>
    <cellStyle name="Note 58 2 2 6" xfId="37753"/>
    <cellStyle name="Note 58 2 2 7" xfId="37754"/>
    <cellStyle name="Note 58 2 2 8" xfId="37755"/>
    <cellStyle name="Note 58 2 3" xfId="10801"/>
    <cellStyle name="Note 58 2 3 2" xfId="10802"/>
    <cellStyle name="Note 58 2 3 3" xfId="10803"/>
    <cellStyle name="Note 58 2 3 4" xfId="10804"/>
    <cellStyle name="Note 58 2 3 5" xfId="10805"/>
    <cellStyle name="Note 58 2 3 6" xfId="37756"/>
    <cellStyle name="Note 58 2 3 7" xfId="37757"/>
    <cellStyle name="Note 58 2 3 8" xfId="37758"/>
    <cellStyle name="Note 58 2 4" xfId="10806"/>
    <cellStyle name="Note 58 2 4 2" xfId="10807"/>
    <cellStyle name="Note 58 2 4 3" xfId="10808"/>
    <cellStyle name="Note 58 2 4 4" xfId="10809"/>
    <cellStyle name="Note 58 2 4 5" xfId="10810"/>
    <cellStyle name="Note 58 2 4 6" xfId="37759"/>
    <cellStyle name="Note 58 2 4 7" xfId="37760"/>
    <cellStyle name="Note 58 2 4 8" xfId="37761"/>
    <cellStyle name="Note 58 2 5" xfId="10811"/>
    <cellStyle name="Note 58 2 5 2" xfId="10812"/>
    <cellStyle name="Note 58 2 5 3" xfId="10813"/>
    <cellStyle name="Note 58 2 5 4" xfId="10814"/>
    <cellStyle name="Note 58 2 5 5" xfId="10815"/>
    <cellStyle name="Note 58 2 5 6" xfId="37762"/>
    <cellStyle name="Note 58 2 5 7" xfId="37763"/>
    <cellStyle name="Note 58 2 5 8" xfId="37764"/>
    <cellStyle name="Note 58 2 6" xfId="10816"/>
    <cellStyle name="Note 58 2 6 2" xfId="10817"/>
    <cellStyle name="Note 58 2 6 3" xfId="10818"/>
    <cellStyle name="Note 58 2 6 4" xfId="10819"/>
    <cellStyle name="Note 58 2 6 5" xfId="10820"/>
    <cellStyle name="Note 58 2 6 6" xfId="37765"/>
    <cellStyle name="Note 58 2 6 7" xfId="37766"/>
    <cellStyle name="Note 58 2 6 8" xfId="37767"/>
    <cellStyle name="Note 58 2 7" xfId="10821"/>
    <cellStyle name="Note 58 2 8" xfId="10822"/>
    <cellStyle name="Note 58 2 9" xfId="10823"/>
    <cellStyle name="Note 58 3" xfId="10824"/>
    <cellStyle name="Note 58 3 2" xfId="10825"/>
    <cellStyle name="Note 58 3 3" xfId="10826"/>
    <cellStyle name="Note 58 3 4" xfId="10827"/>
    <cellStyle name="Note 58 3 5" xfId="10828"/>
    <cellStyle name="Note 58 3 6" xfId="37768"/>
    <cellStyle name="Note 58 3 7" xfId="37769"/>
    <cellStyle name="Note 58 3 8" xfId="37770"/>
    <cellStyle name="Note 58 4" xfId="10829"/>
    <cellStyle name="Note 58 4 2" xfId="10830"/>
    <cellStyle name="Note 58 4 3" xfId="10831"/>
    <cellStyle name="Note 58 4 4" xfId="10832"/>
    <cellStyle name="Note 58 4 5" xfId="10833"/>
    <cellStyle name="Note 58 4 6" xfId="37771"/>
    <cellStyle name="Note 58 4 7" xfId="37772"/>
    <cellStyle name="Note 58 4 8" xfId="37773"/>
    <cellStyle name="Note 58 5" xfId="10834"/>
    <cellStyle name="Note 58 5 2" xfId="10835"/>
    <cellStyle name="Note 58 5 3" xfId="10836"/>
    <cellStyle name="Note 58 5 4" xfId="10837"/>
    <cellStyle name="Note 58 5 5" xfId="10838"/>
    <cellStyle name="Note 58 5 6" xfId="37774"/>
    <cellStyle name="Note 58 5 7" xfId="37775"/>
    <cellStyle name="Note 58 5 8" xfId="37776"/>
    <cellStyle name="Note 58 6" xfId="10839"/>
    <cellStyle name="Note 58 6 2" xfId="10840"/>
    <cellStyle name="Note 58 6 3" xfId="10841"/>
    <cellStyle name="Note 58 6 4" xfId="10842"/>
    <cellStyle name="Note 58 6 5" xfId="10843"/>
    <cellStyle name="Note 58 6 6" xfId="37777"/>
    <cellStyle name="Note 58 6 7" xfId="37778"/>
    <cellStyle name="Note 58 6 8" xfId="37779"/>
    <cellStyle name="Note 58 7" xfId="10844"/>
    <cellStyle name="Note 58 7 2" xfId="10845"/>
    <cellStyle name="Note 58 7 3" xfId="10846"/>
    <cellStyle name="Note 58 7 4" xfId="10847"/>
    <cellStyle name="Note 58 7 5" xfId="10848"/>
    <cellStyle name="Note 58 7 6" xfId="37780"/>
    <cellStyle name="Note 58 7 7" xfId="37781"/>
    <cellStyle name="Note 58 7 8" xfId="37782"/>
    <cellStyle name="Note 58 8" xfId="10849"/>
    <cellStyle name="Note 58 9" xfId="10850"/>
    <cellStyle name="Note 59" xfId="10851"/>
    <cellStyle name="Note 59 10" xfId="10852"/>
    <cellStyle name="Note 59 11" xfId="10853"/>
    <cellStyle name="Note 59 12" xfId="37783"/>
    <cellStyle name="Note 59 13" xfId="37784"/>
    <cellStyle name="Note 59 14" xfId="37785"/>
    <cellStyle name="Note 59 2" xfId="10854"/>
    <cellStyle name="Note 59 2 10" xfId="10855"/>
    <cellStyle name="Note 59 2 11" xfId="37786"/>
    <cellStyle name="Note 59 2 12" xfId="37787"/>
    <cellStyle name="Note 59 2 13" xfId="37788"/>
    <cellStyle name="Note 59 2 2" xfId="10856"/>
    <cellStyle name="Note 59 2 2 2" xfId="10857"/>
    <cellStyle name="Note 59 2 2 3" xfId="10858"/>
    <cellStyle name="Note 59 2 2 4" xfId="10859"/>
    <cellStyle name="Note 59 2 2 5" xfId="10860"/>
    <cellStyle name="Note 59 2 2 6" xfId="37789"/>
    <cellStyle name="Note 59 2 2 7" xfId="37790"/>
    <cellStyle name="Note 59 2 2 8" xfId="37791"/>
    <cellStyle name="Note 59 2 3" xfId="10861"/>
    <cellStyle name="Note 59 2 3 2" xfId="10862"/>
    <cellStyle name="Note 59 2 3 3" xfId="10863"/>
    <cellStyle name="Note 59 2 3 4" xfId="10864"/>
    <cellStyle name="Note 59 2 3 5" xfId="10865"/>
    <cellStyle name="Note 59 2 3 6" xfId="37792"/>
    <cellStyle name="Note 59 2 3 7" xfId="37793"/>
    <cellStyle name="Note 59 2 3 8" xfId="37794"/>
    <cellStyle name="Note 59 2 4" xfId="10866"/>
    <cellStyle name="Note 59 2 4 2" xfId="10867"/>
    <cellStyle name="Note 59 2 4 3" xfId="10868"/>
    <cellStyle name="Note 59 2 4 4" xfId="10869"/>
    <cellStyle name="Note 59 2 4 5" xfId="10870"/>
    <cellStyle name="Note 59 2 4 6" xfId="37795"/>
    <cellStyle name="Note 59 2 4 7" xfId="37796"/>
    <cellStyle name="Note 59 2 4 8" xfId="37797"/>
    <cellStyle name="Note 59 2 5" xfId="10871"/>
    <cellStyle name="Note 59 2 5 2" xfId="10872"/>
    <cellStyle name="Note 59 2 5 3" xfId="10873"/>
    <cellStyle name="Note 59 2 5 4" xfId="10874"/>
    <cellStyle name="Note 59 2 5 5" xfId="10875"/>
    <cellStyle name="Note 59 2 5 6" xfId="37798"/>
    <cellStyle name="Note 59 2 5 7" xfId="37799"/>
    <cellStyle name="Note 59 2 5 8" xfId="37800"/>
    <cellStyle name="Note 59 2 6" xfId="10876"/>
    <cellStyle name="Note 59 2 6 2" xfId="10877"/>
    <cellStyle name="Note 59 2 6 3" xfId="10878"/>
    <cellStyle name="Note 59 2 6 4" xfId="10879"/>
    <cellStyle name="Note 59 2 6 5" xfId="10880"/>
    <cellStyle name="Note 59 2 6 6" xfId="37801"/>
    <cellStyle name="Note 59 2 6 7" xfId="37802"/>
    <cellStyle name="Note 59 2 6 8" xfId="37803"/>
    <cellStyle name="Note 59 2 7" xfId="10881"/>
    <cellStyle name="Note 59 2 8" xfId="10882"/>
    <cellStyle name="Note 59 2 9" xfId="10883"/>
    <cellStyle name="Note 59 3" xfId="10884"/>
    <cellStyle name="Note 59 3 2" xfId="10885"/>
    <cellStyle name="Note 59 3 3" xfId="10886"/>
    <cellStyle name="Note 59 3 4" xfId="10887"/>
    <cellStyle name="Note 59 3 5" xfId="10888"/>
    <cellStyle name="Note 59 3 6" xfId="37804"/>
    <cellStyle name="Note 59 3 7" xfId="37805"/>
    <cellStyle name="Note 59 3 8" xfId="37806"/>
    <cellStyle name="Note 59 4" xfId="10889"/>
    <cellStyle name="Note 59 4 2" xfId="10890"/>
    <cellStyle name="Note 59 4 3" xfId="10891"/>
    <cellStyle name="Note 59 4 4" xfId="10892"/>
    <cellStyle name="Note 59 4 5" xfId="10893"/>
    <cellStyle name="Note 59 4 6" xfId="37807"/>
    <cellStyle name="Note 59 4 7" xfId="37808"/>
    <cellStyle name="Note 59 4 8" xfId="37809"/>
    <cellStyle name="Note 59 5" xfId="10894"/>
    <cellStyle name="Note 59 5 2" xfId="10895"/>
    <cellStyle name="Note 59 5 3" xfId="10896"/>
    <cellStyle name="Note 59 5 4" xfId="10897"/>
    <cellStyle name="Note 59 5 5" xfId="10898"/>
    <cellStyle name="Note 59 5 6" xfId="37810"/>
    <cellStyle name="Note 59 5 7" xfId="37811"/>
    <cellStyle name="Note 59 5 8" xfId="37812"/>
    <cellStyle name="Note 59 6" xfId="10899"/>
    <cellStyle name="Note 59 6 2" xfId="10900"/>
    <cellStyle name="Note 59 6 3" xfId="10901"/>
    <cellStyle name="Note 59 6 4" xfId="10902"/>
    <cellStyle name="Note 59 6 5" xfId="10903"/>
    <cellStyle name="Note 59 6 6" xfId="37813"/>
    <cellStyle name="Note 59 6 7" xfId="37814"/>
    <cellStyle name="Note 59 6 8" xfId="37815"/>
    <cellStyle name="Note 59 7" xfId="10904"/>
    <cellStyle name="Note 59 7 2" xfId="10905"/>
    <cellStyle name="Note 59 7 3" xfId="10906"/>
    <cellStyle name="Note 59 7 4" xfId="10907"/>
    <cellStyle name="Note 59 7 5" xfId="10908"/>
    <cellStyle name="Note 59 7 6" xfId="37816"/>
    <cellStyle name="Note 59 7 7" xfId="37817"/>
    <cellStyle name="Note 59 7 8" xfId="37818"/>
    <cellStyle name="Note 59 8" xfId="10909"/>
    <cellStyle name="Note 59 9" xfId="10910"/>
    <cellStyle name="Note 6" xfId="10911"/>
    <cellStyle name="Note 6 10" xfId="10912"/>
    <cellStyle name="Note 6 10 10" xfId="10913"/>
    <cellStyle name="Note 6 10 11" xfId="37819"/>
    <cellStyle name="Note 6 10 12" xfId="37820"/>
    <cellStyle name="Note 6 10 13" xfId="37821"/>
    <cellStyle name="Note 6 10 2" xfId="10914"/>
    <cellStyle name="Note 6 10 2 2" xfId="10915"/>
    <cellStyle name="Note 6 10 2 3" xfId="10916"/>
    <cellStyle name="Note 6 10 2 4" xfId="10917"/>
    <cellStyle name="Note 6 10 2 5" xfId="10918"/>
    <cellStyle name="Note 6 10 2 6" xfId="37822"/>
    <cellStyle name="Note 6 10 2 7" xfId="37823"/>
    <cellStyle name="Note 6 10 2 8" xfId="37824"/>
    <cellStyle name="Note 6 10 3" xfId="10919"/>
    <cellStyle name="Note 6 10 3 2" xfId="10920"/>
    <cellStyle name="Note 6 10 3 3" xfId="10921"/>
    <cellStyle name="Note 6 10 3 4" xfId="10922"/>
    <cellStyle name="Note 6 10 3 5" xfId="10923"/>
    <cellStyle name="Note 6 10 3 6" xfId="37825"/>
    <cellStyle name="Note 6 10 3 7" xfId="37826"/>
    <cellStyle name="Note 6 10 3 8" xfId="37827"/>
    <cellStyle name="Note 6 10 4" xfId="10924"/>
    <cellStyle name="Note 6 10 4 2" xfId="10925"/>
    <cellStyle name="Note 6 10 4 3" xfId="10926"/>
    <cellStyle name="Note 6 10 4 4" xfId="10927"/>
    <cellStyle name="Note 6 10 4 5" xfId="10928"/>
    <cellStyle name="Note 6 10 4 6" xfId="37828"/>
    <cellStyle name="Note 6 10 4 7" xfId="37829"/>
    <cellStyle name="Note 6 10 4 8" xfId="37830"/>
    <cellStyle name="Note 6 10 5" xfId="10929"/>
    <cellStyle name="Note 6 10 5 2" xfId="10930"/>
    <cellStyle name="Note 6 10 5 3" xfId="10931"/>
    <cellStyle name="Note 6 10 5 4" xfId="10932"/>
    <cellStyle name="Note 6 10 5 5" xfId="10933"/>
    <cellStyle name="Note 6 10 5 6" xfId="37831"/>
    <cellStyle name="Note 6 10 5 7" xfId="37832"/>
    <cellStyle name="Note 6 10 5 8" xfId="37833"/>
    <cellStyle name="Note 6 10 6" xfId="10934"/>
    <cellStyle name="Note 6 10 6 2" xfId="10935"/>
    <cellStyle name="Note 6 10 6 3" xfId="10936"/>
    <cellStyle name="Note 6 10 6 4" xfId="10937"/>
    <cellStyle name="Note 6 10 6 5" xfId="10938"/>
    <cellStyle name="Note 6 10 6 6" xfId="37834"/>
    <cellStyle name="Note 6 10 6 7" xfId="37835"/>
    <cellStyle name="Note 6 10 6 8" xfId="37836"/>
    <cellStyle name="Note 6 10 7" xfId="10939"/>
    <cellStyle name="Note 6 10 8" xfId="10940"/>
    <cellStyle name="Note 6 10 9" xfId="10941"/>
    <cellStyle name="Note 6 11" xfId="10942"/>
    <cellStyle name="Note 6 11 2" xfId="10943"/>
    <cellStyle name="Note 6 11 3" xfId="10944"/>
    <cellStyle name="Note 6 11 4" xfId="10945"/>
    <cellStyle name="Note 6 11 5" xfId="10946"/>
    <cellStyle name="Note 6 11 6" xfId="37837"/>
    <cellStyle name="Note 6 11 7" xfId="37838"/>
    <cellStyle name="Note 6 11 8" xfId="37839"/>
    <cellStyle name="Note 6 12" xfId="10947"/>
    <cellStyle name="Note 6 12 2" xfId="10948"/>
    <cellStyle name="Note 6 12 3" xfId="10949"/>
    <cellStyle name="Note 6 12 4" xfId="10950"/>
    <cellStyle name="Note 6 12 5" xfId="10951"/>
    <cellStyle name="Note 6 12 6" xfId="37840"/>
    <cellStyle name="Note 6 12 7" xfId="37841"/>
    <cellStyle name="Note 6 12 8" xfId="37842"/>
    <cellStyle name="Note 6 13" xfId="10952"/>
    <cellStyle name="Note 6 13 2" xfId="10953"/>
    <cellStyle name="Note 6 13 3" xfId="10954"/>
    <cellStyle name="Note 6 13 4" xfId="10955"/>
    <cellStyle name="Note 6 13 5" xfId="10956"/>
    <cellStyle name="Note 6 13 6" xfId="37843"/>
    <cellStyle name="Note 6 13 7" xfId="37844"/>
    <cellStyle name="Note 6 13 8" xfId="37845"/>
    <cellStyle name="Note 6 14" xfId="10957"/>
    <cellStyle name="Note 6 14 2" xfId="10958"/>
    <cellStyle name="Note 6 14 3" xfId="10959"/>
    <cellStyle name="Note 6 14 4" xfId="10960"/>
    <cellStyle name="Note 6 14 5" xfId="10961"/>
    <cellStyle name="Note 6 14 6" xfId="37846"/>
    <cellStyle name="Note 6 14 7" xfId="37847"/>
    <cellStyle name="Note 6 14 8" xfId="37848"/>
    <cellStyle name="Note 6 15" xfId="10962"/>
    <cellStyle name="Note 6 15 2" xfId="10963"/>
    <cellStyle name="Note 6 15 3" xfId="10964"/>
    <cellStyle name="Note 6 15 4" xfId="10965"/>
    <cellStyle name="Note 6 15 5" xfId="10966"/>
    <cellStyle name="Note 6 15 6" xfId="37849"/>
    <cellStyle name="Note 6 15 7" xfId="37850"/>
    <cellStyle name="Note 6 15 8" xfId="37851"/>
    <cellStyle name="Note 6 16" xfId="10967"/>
    <cellStyle name="Note 6 17" xfId="10968"/>
    <cellStyle name="Note 6 18" xfId="10969"/>
    <cellStyle name="Note 6 19" xfId="10970"/>
    <cellStyle name="Note 6 2" xfId="10971"/>
    <cellStyle name="Note 6 2 10" xfId="10972"/>
    <cellStyle name="Note 6 2 11" xfId="37852"/>
    <cellStyle name="Note 6 2 12" xfId="37853"/>
    <cellStyle name="Note 6 2 13" xfId="37854"/>
    <cellStyle name="Note 6 2 2" xfId="10973"/>
    <cellStyle name="Note 6 2 2 2" xfId="10974"/>
    <cellStyle name="Note 6 2 2 3" xfId="10975"/>
    <cellStyle name="Note 6 2 2 4" xfId="10976"/>
    <cellStyle name="Note 6 2 2 5" xfId="10977"/>
    <cellStyle name="Note 6 2 2 6" xfId="37855"/>
    <cellStyle name="Note 6 2 2 7" xfId="37856"/>
    <cellStyle name="Note 6 2 2 8" xfId="37857"/>
    <cellStyle name="Note 6 2 3" xfId="10978"/>
    <cellStyle name="Note 6 2 3 2" xfId="10979"/>
    <cellStyle name="Note 6 2 3 3" xfId="10980"/>
    <cellStyle name="Note 6 2 3 4" xfId="10981"/>
    <cellStyle name="Note 6 2 3 5" xfId="10982"/>
    <cellStyle name="Note 6 2 3 6" xfId="37858"/>
    <cellStyle name="Note 6 2 3 7" xfId="37859"/>
    <cellStyle name="Note 6 2 3 8" xfId="37860"/>
    <cellStyle name="Note 6 2 4" xfId="10983"/>
    <cellStyle name="Note 6 2 4 2" xfId="10984"/>
    <cellStyle name="Note 6 2 4 3" xfId="10985"/>
    <cellStyle name="Note 6 2 4 4" xfId="10986"/>
    <cellStyle name="Note 6 2 4 5" xfId="10987"/>
    <cellStyle name="Note 6 2 4 6" xfId="37861"/>
    <cellStyle name="Note 6 2 4 7" xfId="37862"/>
    <cellStyle name="Note 6 2 4 8" xfId="37863"/>
    <cellStyle name="Note 6 2 5" xfId="10988"/>
    <cellStyle name="Note 6 2 5 2" xfId="10989"/>
    <cellStyle name="Note 6 2 5 3" xfId="10990"/>
    <cellStyle name="Note 6 2 5 4" xfId="10991"/>
    <cellStyle name="Note 6 2 5 5" xfId="10992"/>
    <cellStyle name="Note 6 2 5 6" xfId="37864"/>
    <cellStyle name="Note 6 2 5 7" xfId="37865"/>
    <cellStyle name="Note 6 2 5 8" xfId="37866"/>
    <cellStyle name="Note 6 2 6" xfId="10993"/>
    <cellStyle name="Note 6 2 6 2" xfId="10994"/>
    <cellStyle name="Note 6 2 6 3" xfId="10995"/>
    <cellStyle name="Note 6 2 6 4" xfId="10996"/>
    <cellStyle name="Note 6 2 6 5" xfId="10997"/>
    <cellStyle name="Note 6 2 6 6" xfId="37867"/>
    <cellStyle name="Note 6 2 6 7" xfId="37868"/>
    <cellStyle name="Note 6 2 6 8" xfId="37869"/>
    <cellStyle name="Note 6 2 7" xfId="10998"/>
    <cellStyle name="Note 6 2 8" xfId="10999"/>
    <cellStyle name="Note 6 2 9" xfId="11000"/>
    <cellStyle name="Note 6 20" xfId="37870"/>
    <cellStyle name="Note 6 21" xfId="37871"/>
    <cellStyle name="Note 6 22" xfId="37872"/>
    <cellStyle name="Note 6 23" xfId="37873"/>
    <cellStyle name="Note 6 24" xfId="37874"/>
    <cellStyle name="Note 6 3" xfId="11001"/>
    <cellStyle name="Note 6 3 10" xfId="11002"/>
    <cellStyle name="Note 6 3 11" xfId="37875"/>
    <cellStyle name="Note 6 3 12" xfId="37876"/>
    <cellStyle name="Note 6 3 13" xfId="37877"/>
    <cellStyle name="Note 6 3 2" xfId="11003"/>
    <cellStyle name="Note 6 3 2 2" xfId="11004"/>
    <cellStyle name="Note 6 3 2 3" xfId="11005"/>
    <cellStyle name="Note 6 3 2 4" xfId="11006"/>
    <cellStyle name="Note 6 3 2 5" xfId="11007"/>
    <cellStyle name="Note 6 3 2 6" xfId="37878"/>
    <cellStyle name="Note 6 3 2 7" xfId="37879"/>
    <cellStyle name="Note 6 3 2 8" xfId="37880"/>
    <cellStyle name="Note 6 3 3" xfId="11008"/>
    <cellStyle name="Note 6 3 3 2" xfId="11009"/>
    <cellStyle name="Note 6 3 3 3" xfId="11010"/>
    <cellStyle name="Note 6 3 3 4" xfId="11011"/>
    <cellStyle name="Note 6 3 3 5" xfId="11012"/>
    <cellStyle name="Note 6 3 3 6" xfId="37881"/>
    <cellStyle name="Note 6 3 3 7" xfId="37882"/>
    <cellStyle name="Note 6 3 3 8" xfId="37883"/>
    <cellStyle name="Note 6 3 4" xfId="11013"/>
    <cellStyle name="Note 6 3 4 2" xfId="11014"/>
    <cellStyle name="Note 6 3 4 3" xfId="11015"/>
    <cellStyle name="Note 6 3 4 4" xfId="11016"/>
    <cellStyle name="Note 6 3 4 5" xfId="11017"/>
    <cellStyle name="Note 6 3 4 6" xfId="37884"/>
    <cellStyle name="Note 6 3 4 7" xfId="37885"/>
    <cellStyle name="Note 6 3 4 8" xfId="37886"/>
    <cellStyle name="Note 6 3 5" xfId="11018"/>
    <cellStyle name="Note 6 3 5 2" xfId="11019"/>
    <cellStyle name="Note 6 3 5 3" xfId="11020"/>
    <cellStyle name="Note 6 3 5 4" xfId="11021"/>
    <cellStyle name="Note 6 3 5 5" xfId="11022"/>
    <cellStyle name="Note 6 3 5 6" xfId="37887"/>
    <cellStyle name="Note 6 3 5 7" xfId="37888"/>
    <cellStyle name="Note 6 3 5 8" xfId="37889"/>
    <cellStyle name="Note 6 3 6" xfId="11023"/>
    <cellStyle name="Note 6 3 6 2" xfId="11024"/>
    <cellStyle name="Note 6 3 6 3" xfId="11025"/>
    <cellStyle name="Note 6 3 6 4" xfId="11026"/>
    <cellStyle name="Note 6 3 6 5" xfId="11027"/>
    <cellStyle name="Note 6 3 6 6" xfId="37890"/>
    <cellStyle name="Note 6 3 6 7" xfId="37891"/>
    <cellStyle name="Note 6 3 6 8" xfId="37892"/>
    <cellStyle name="Note 6 3 7" xfId="11028"/>
    <cellStyle name="Note 6 3 8" xfId="11029"/>
    <cellStyle name="Note 6 3 9" xfId="11030"/>
    <cellStyle name="Note 6 4" xfId="11031"/>
    <cellStyle name="Note 6 4 10" xfId="11032"/>
    <cellStyle name="Note 6 4 11" xfId="37893"/>
    <cellStyle name="Note 6 4 12" xfId="37894"/>
    <cellStyle name="Note 6 4 13" xfId="37895"/>
    <cellStyle name="Note 6 4 2" xfId="11033"/>
    <cellStyle name="Note 6 4 2 2" xfId="11034"/>
    <cellStyle name="Note 6 4 2 3" xfId="11035"/>
    <cellStyle name="Note 6 4 2 4" xfId="11036"/>
    <cellStyle name="Note 6 4 2 5" xfId="11037"/>
    <cellStyle name="Note 6 4 2 6" xfId="37896"/>
    <cellStyle name="Note 6 4 2 7" xfId="37897"/>
    <cellStyle name="Note 6 4 2 8" xfId="37898"/>
    <cellStyle name="Note 6 4 3" xfId="11038"/>
    <cellStyle name="Note 6 4 3 2" xfId="11039"/>
    <cellStyle name="Note 6 4 3 3" xfId="11040"/>
    <cellStyle name="Note 6 4 3 4" xfId="11041"/>
    <cellStyle name="Note 6 4 3 5" xfId="11042"/>
    <cellStyle name="Note 6 4 3 6" xfId="37899"/>
    <cellStyle name="Note 6 4 3 7" xfId="37900"/>
    <cellStyle name="Note 6 4 3 8" xfId="37901"/>
    <cellStyle name="Note 6 4 4" xfId="11043"/>
    <cellStyle name="Note 6 4 4 2" xfId="11044"/>
    <cellStyle name="Note 6 4 4 3" xfId="11045"/>
    <cellStyle name="Note 6 4 4 4" xfId="11046"/>
    <cellStyle name="Note 6 4 4 5" xfId="11047"/>
    <cellStyle name="Note 6 4 4 6" xfId="37902"/>
    <cellStyle name="Note 6 4 4 7" xfId="37903"/>
    <cellStyle name="Note 6 4 4 8" xfId="37904"/>
    <cellStyle name="Note 6 4 5" xfId="11048"/>
    <cellStyle name="Note 6 4 5 2" xfId="11049"/>
    <cellStyle name="Note 6 4 5 3" xfId="11050"/>
    <cellStyle name="Note 6 4 5 4" xfId="11051"/>
    <cellStyle name="Note 6 4 5 5" xfId="11052"/>
    <cellStyle name="Note 6 4 5 6" xfId="37905"/>
    <cellStyle name="Note 6 4 5 7" xfId="37906"/>
    <cellStyle name="Note 6 4 5 8" xfId="37907"/>
    <cellStyle name="Note 6 4 6" xfId="11053"/>
    <cellStyle name="Note 6 4 6 2" xfId="11054"/>
    <cellStyle name="Note 6 4 6 3" xfId="11055"/>
    <cellStyle name="Note 6 4 6 4" xfId="11056"/>
    <cellStyle name="Note 6 4 6 5" xfId="11057"/>
    <cellStyle name="Note 6 4 6 6" xfId="37908"/>
    <cellStyle name="Note 6 4 6 7" xfId="37909"/>
    <cellStyle name="Note 6 4 6 8" xfId="37910"/>
    <cellStyle name="Note 6 4 7" xfId="11058"/>
    <cellStyle name="Note 6 4 8" xfId="11059"/>
    <cellStyle name="Note 6 4 9" xfId="11060"/>
    <cellStyle name="Note 6 5" xfId="11061"/>
    <cellStyle name="Note 6 5 10" xfId="11062"/>
    <cellStyle name="Note 6 5 11" xfId="37911"/>
    <cellStyle name="Note 6 5 12" xfId="37912"/>
    <cellStyle name="Note 6 5 13" xfId="37913"/>
    <cellStyle name="Note 6 5 2" xfId="11063"/>
    <cellStyle name="Note 6 5 2 2" xfId="11064"/>
    <cellStyle name="Note 6 5 2 3" xfId="11065"/>
    <cellStyle name="Note 6 5 2 4" xfId="11066"/>
    <cellStyle name="Note 6 5 2 5" xfId="11067"/>
    <cellStyle name="Note 6 5 2 6" xfId="37914"/>
    <cellStyle name="Note 6 5 2 7" xfId="37915"/>
    <cellStyle name="Note 6 5 2 8" xfId="37916"/>
    <cellStyle name="Note 6 5 3" xfId="11068"/>
    <cellStyle name="Note 6 5 3 2" xfId="11069"/>
    <cellStyle name="Note 6 5 3 3" xfId="11070"/>
    <cellStyle name="Note 6 5 3 4" xfId="11071"/>
    <cellStyle name="Note 6 5 3 5" xfId="11072"/>
    <cellStyle name="Note 6 5 3 6" xfId="37917"/>
    <cellStyle name="Note 6 5 3 7" xfId="37918"/>
    <cellStyle name="Note 6 5 3 8" xfId="37919"/>
    <cellStyle name="Note 6 5 4" xfId="11073"/>
    <cellStyle name="Note 6 5 4 2" xfId="11074"/>
    <cellStyle name="Note 6 5 4 3" xfId="11075"/>
    <cellStyle name="Note 6 5 4 4" xfId="11076"/>
    <cellStyle name="Note 6 5 4 5" xfId="11077"/>
    <cellStyle name="Note 6 5 4 6" xfId="37920"/>
    <cellStyle name="Note 6 5 4 7" xfId="37921"/>
    <cellStyle name="Note 6 5 4 8" xfId="37922"/>
    <cellStyle name="Note 6 5 5" xfId="11078"/>
    <cellStyle name="Note 6 5 5 2" xfId="11079"/>
    <cellStyle name="Note 6 5 5 3" xfId="11080"/>
    <cellStyle name="Note 6 5 5 4" xfId="11081"/>
    <cellStyle name="Note 6 5 5 5" xfId="11082"/>
    <cellStyle name="Note 6 5 5 6" xfId="37923"/>
    <cellStyle name="Note 6 5 5 7" xfId="37924"/>
    <cellStyle name="Note 6 5 5 8" xfId="37925"/>
    <cellStyle name="Note 6 5 6" xfId="11083"/>
    <cellStyle name="Note 6 5 6 2" xfId="11084"/>
    <cellStyle name="Note 6 5 6 3" xfId="11085"/>
    <cellStyle name="Note 6 5 6 4" xfId="11086"/>
    <cellStyle name="Note 6 5 6 5" xfId="11087"/>
    <cellStyle name="Note 6 5 6 6" xfId="37926"/>
    <cellStyle name="Note 6 5 6 7" xfId="37927"/>
    <cellStyle name="Note 6 5 6 8" xfId="37928"/>
    <cellStyle name="Note 6 5 7" xfId="11088"/>
    <cellStyle name="Note 6 5 8" xfId="11089"/>
    <cellStyle name="Note 6 5 9" xfId="11090"/>
    <cellStyle name="Note 6 6" xfId="11091"/>
    <cellStyle name="Note 6 6 10" xfId="11092"/>
    <cellStyle name="Note 6 6 11" xfId="37929"/>
    <cellStyle name="Note 6 6 12" xfId="37930"/>
    <cellStyle name="Note 6 6 13" xfId="37931"/>
    <cellStyle name="Note 6 6 2" xfId="11093"/>
    <cellStyle name="Note 6 6 2 2" xfId="11094"/>
    <cellStyle name="Note 6 6 2 3" xfId="11095"/>
    <cellStyle name="Note 6 6 2 4" xfId="11096"/>
    <cellStyle name="Note 6 6 2 5" xfId="11097"/>
    <cellStyle name="Note 6 6 2 6" xfId="37932"/>
    <cellStyle name="Note 6 6 2 7" xfId="37933"/>
    <cellStyle name="Note 6 6 2 8" xfId="37934"/>
    <cellStyle name="Note 6 6 3" xfId="11098"/>
    <cellStyle name="Note 6 6 3 2" xfId="11099"/>
    <cellStyle name="Note 6 6 3 3" xfId="11100"/>
    <cellStyle name="Note 6 6 3 4" xfId="11101"/>
    <cellStyle name="Note 6 6 3 5" xfId="11102"/>
    <cellStyle name="Note 6 6 3 6" xfId="37935"/>
    <cellStyle name="Note 6 6 3 7" xfId="37936"/>
    <cellStyle name="Note 6 6 3 8" xfId="37937"/>
    <cellStyle name="Note 6 6 4" xfId="11103"/>
    <cellStyle name="Note 6 6 4 2" xfId="11104"/>
    <cellStyle name="Note 6 6 4 3" xfId="11105"/>
    <cellStyle name="Note 6 6 4 4" xfId="11106"/>
    <cellStyle name="Note 6 6 4 5" xfId="11107"/>
    <cellStyle name="Note 6 6 4 6" xfId="37938"/>
    <cellStyle name="Note 6 6 4 7" xfId="37939"/>
    <cellStyle name="Note 6 6 4 8" xfId="37940"/>
    <cellStyle name="Note 6 6 5" xfId="11108"/>
    <cellStyle name="Note 6 6 5 2" xfId="11109"/>
    <cellStyle name="Note 6 6 5 3" xfId="11110"/>
    <cellStyle name="Note 6 6 5 4" xfId="11111"/>
    <cellStyle name="Note 6 6 5 5" xfId="11112"/>
    <cellStyle name="Note 6 6 5 6" xfId="37941"/>
    <cellStyle name="Note 6 6 5 7" xfId="37942"/>
    <cellStyle name="Note 6 6 5 8" xfId="37943"/>
    <cellStyle name="Note 6 6 6" xfId="11113"/>
    <cellStyle name="Note 6 6 6 2" xfId="11114"/>
    <cellStyle name="Note 6 6 6 3" xfId="11115"/>
    <cellStyle name="Note 6 6 6 4" xfId="11116"/>
    <cellStyle name="Note 6 6 6 5" xfId="11117"/>
    <cellStyle name="Note 6 6 6 6" xfId="37944"/>
    <cellStyle name="Note 6 6 6 7" xfId="37945"/>
    <cellStyle name="Note 6 6 6 8" xfId="37946"/>
    <cellStyle name="Note 6 6 7" xfId="11118"/>
    <cellStyle name="Note 6 6 8" xfId="11119"/>
    <cellStyle name="Note 6 6 9" xfId="11120"/>
    <cellStyle name="Note 6 7" xfId="11121"/>
    <cellStyle name="Note 6 7 10" xfId="11122"/>
    <cellStyle name="Note 6 7 11" xfId="37947"/>
    <cellStyle name="Note 6 7 12" xfId="37948"/>
    <cellStyle name="Note 6 7 13" xfId="37949"/>
    <cellStyle name="Note 6 7 2" xfId="11123"/>
    <cellStyle name="Note 6 7 2 2" xfId="11124"/>
    <cellStyle name="Note 6 7 2 3" xfId="11125"/>
    <cellStyle name="Note 6 7 2 4" xfId="11126"/>
    <cellStyle name="Note 6 7 2 5" xfId="11127"/>
    <cellStyle name="Note 6 7 2 6" xfId="37950"/>
    <cellStyle name="Note 6 7 2 7" xfId="37951"/>
    <cellStyle name="Note 6 7 2 8" xfId="37952"/>
    <cellStyle name="Note 6 7 3" xfId="11128"/>
    <cellStyle name="Note 6 7 3 2" xfId="11129"/>
    <cellStyle name="Note 6 7 3 3" xfId="11130"/>
    <cellStyle name="Note 6 7 3 4" xfId="11131"/>
    <cellStyle name="Note 6 7 3 5" xfId="11132"/>
    <cellStyle name="Note 6 7 3 6" xfId="37953"/>
    <cellStyle name="Note 6 7 3 7" xfId="37954"/>
    <cellStyle name="Note 6 7 3 8" xfId="37955"/>
    <cellStyle name="Note 6 7 4" xfId="11133"/>
    <cellStyle name="Note 6 7 4 2" xfId="11134"/>
    <cellStyle name="Note 6 7 4 3" xfId="11135"/>
    <cellStyle name="Note 6 7 4 4" xfId="11136"/>
    <cellStyle name="Note 6 7 4 5" xfId="11137"/>
    <cellStyle name="Note 6 7 4 6" xfId="37956"/>
    <cellStyle name="Note 6 7 4 7" xfId="37957"/>
    <cellStyle name="Note 6 7 4 8" xfId="37958"/>
    <cellStyle name="Note 6 7 5" xfId="11138"/>
    <cellStyle name="Note 6 7 5 2" xfId="11139"/>
    <cellStyle name="Note 6 7 5 3" xfId="11140"/>
    <cellStyle name="Note 6 7 5 4" xfId="11141"/>
    <cellStyle name="Note 6 7 5 5" xfId="11142"/>
    <cellStyle name="Note 6 7 5 6" xfId="37959"/>
    <cellStyle name="Note 6 7 5 7" xfId="37960"/>
    <cellStyle name="Note 6 7 5 8" xfId="37961"/>
    <cellStyle name="Note 6 7 6" xfId="11143"/>
    <cellStyle name="Note 6 7 6 2" xfId="11144"/>
    <cellStyle name="Note 6 7 6 3" xfId="11145"/>
    <cellStyle name="Note 6 7 6 4" xfId="11146"/>
    <cellStyle name="Note 6 7 6 5" xfId="11147"/>
    <cellStyle name="Note 6 7 6 6" xfId="37962"/>
    <cellStyle name="Note 6 7 6 7" xfId="37963"/>
    <cellStyle name="Note 6 7 6 8" xfId="37964"/>
    <cellStyle name="Note 6 7 7" xfId="11148"/>
    <cellStyle name="Note 6 7 8" xfId="11149"/>
    <cellStyle name="Note 6 7 9" xfId="11150"/>
    <cellStyle name="Note 6 8" xfId="11151"/>
    <cellStyle name="Note 6 8 10" xfId="11152"/>
    <cellStyle name="Note 6 8 11" xfId="37965"/>
    <cellStyle name="Note 6 8 12" xfId="37966"/>
    <cellStyle name="Note 6 8 13" xfId="37967"/>
    <cellStyle name="Note 6 8 2" xfId="11153"/>
    <cellStyle name="Note 6 8 2 2" xfId="11154"/>
    <cellStyle name="Note 6 8 2 3" xfId="11155"/>
    <cellStyle name="Note 6 8 2 4" xfId="11156"/>
    <cellStyle name="Note 6 8 2 5" xfId="11157"/>
    <cellStyle name="Note 6 8 2 6" xfId="37968"/>
    <cellStyle name="Note 6 8 2 7" xfId="37969"/>
    <cellStyle name="Note 6 8 2 8" xfId="37970"/>
    <cellStyle name="Note 6 8 3" xfId="11158"/>
    <cellStyle name="Note 6 8 3 2" xfId="11159"/>
    <cellStyle name="Note 6 8 3 3" xfId="11160"/>
    <cellStyle name="Note 6 8 3 4" xfId="11161"/>
    <cellStyle name="Note 6 8 3 5" xfId="11162"/>
    <cellStyle name="Note 6 8 3 6" xfId="37971"/>
    <cellStyle name="Note 6 8 3 7" xfId="37972"/>
    <cellStyle name="Note 6 8 3 8" xfId="37973"/>
    <cellStyle name="Note 6 8 4" xfId="11163"/>
    <cellStyle name="Note 6 8 4 2" xfId="11164"/>
    <cellStyle name="Note 6 8 4 3" xfId="11165"/>
    <cellStyle name="Note 6 8 4 4" xfId="11166"/>
    <cellStyle name="Note 6 8 4 5" xfId="11167"/>
    <cellStyle name="Note 6 8 4 6" xfId="37974"/>
    <cellStyle name="Note 6 8 4 7" xfId="37975"/>
    <cellStyle name="Note 6 8 4 8" xfId="37976"/>
    <cellStyle name="Note 6 8 5" xfId="11168"/>
    <cellStyle name="Note 6 8 5 2" xfId="11169"/>
    <cellStyle name="Note 6 8 5 3" xfId="11170"/>
    <cellStyle name="Note 6 8 5 4" xfId="11171"/>
    <cellStyle name="Note 6 8 5 5" xfId="11172"/>
    <cellStyle name="Note 6 8 5 6" xfId="37977"/>
    <cellStyle name="Note 6 8 5 7" xfId="37978"/>
    <cellStyle name="Note 6 8 5 8" xfId="37979"/>
    <cellStyle name="Note 6 8 6" xfId="11173"/>
    <cellStyle name="Note 6 8 6 2" xfId="11174"/>
    <cellStyle name="Note 6 8 6 3" xfId="11175"/>
    <cellStyle name="Note 6 8 6 4" xfId="11176"/>
    <cellStyle name="Note 6 8 6 5" xfId="11177"/>
    <cellStyle name="Note 6 8 6 6" xfId="37980"/>
    <cellStyle name="Note 6 8 6 7" xfId="37981"/>
    <cellStyle name="Note 6 8 6 8" xfId="37982"/>
    <cellStyle name="Note 6 8 7" xfId="11178"/>
    <cellStyle name="Note 6 8 8" xfId="11179"/>
    <cellStyle name="Note 6 8 9" xfId="11180"/>
    <cellStyle name="Note 6 9" xfId="11181"/>
    <cellStyle name="Note 6 9 10" xfId="11182"/>
    <cellStyle name="Note 6 9 11" xfId="37983"/>
    <cellStyle name="Note 6 9 12" xfId="37984"/>
    <cellStyle name="Note 6 9 13" xfId="37985"/>
    <cellStyle name="Note 6 9 2" xfId="11183"/>
    <cellStyle name="Note 6 9 2 2" xfId="11184"/>
    <cellStyle name="Note 6 9 2 3" xfId="11185"/>
    <cellStyle name="Note 6 9 2 4" xfId="11186"/>
    <cellStyle name="Note 6 9 2 5" xfId="11187"/>
    <cellStyle name="Note 6 9 2 6" xfId="37986"/>
    <cellStyle name="Note 6 9 2 7" xfId="37987"/>
    <cellStyle name="Note 6 9 2 8" xfId="37988"/>
    <cellStyle name="Note 6 9 3" xfId="11188"/>
    <cellStyle name="Note 6 9 3 2" xfId="11189"/>
    <cellStyle name="Note 6 9 3 3" xfId="11190"/>
    <cellStyle name="Note 6 9 3 4" xfId="11191"/>
    <cellStyle name="Note 6 9 3 5" xfId="11192"/>
    <cellStyle name="Note 6 9 3 6" xfId="37989"/>
    <cellStyle name="Note 6 9 3 7" xfId="37990"/>
    <cellStyle name="Note 6 9 3 8" xfId="37991"/>
    <cellStyle name="Note 6 9 4" xfId="11193"/>
    <cellStyle name="Note 6 9 4 2" xfId="11194"/>
    <cellStyle name="Note 6 9 4 3" xfId="11195"/>
    <cellStyle name="Note 6 9 4 4" xfId="11196"/>
    <cellStyle name="Note 6 9 4 5" xfId="11197"/>
    <cellStyle name="Note 6 9 4 6" xfId="37992"/>
    <cellStyle name="Note 6 9 4 7" xfId="37993"/>
    <cellStyle name="Note 6 9 4 8" xfId="37994"/>
    <cellStyle name="Note 6 9 5" xfId="11198"/>
    <cellStyle name="Note 6 9 5 2" xfId="11199"/>
    <cellStyle name="Note 6 9 5 3" xfId="11200"/>
    <cellStyle name="Note 6 9 5 4" xfId="11201"/>
    <cellStyle name="Note 6 9 5 5" xfId="11202"/>
    <cellStyle name="Note 6 9 5 6" xfId="37995"/>
    <cellStyle name="Note 6 9 5 7" xfId="37996"/>
    <cellStyle name="Note 6 9 5 8" xfId="37997"/>
    <cellStyle name="Note 6 9 6" xfId="11203"/>
    <cellStyle name="Note 6 9 6 2" xfId="11204"/>
    <cellStyle name="Note 6 9 6 3" xfId="11205"/>
    <cellStyle name="Note 6 9 6 4" xfId="11206"/>
    <cellStyle name="Note 6 9 6 5" xfId="11207"/>
    <cellStyle name="Note 6 9 6 6" xfId="37998"/>
    <cellStyle name="Note 6 9 6 7" xfId="37999"/>
    <cellStyle name="Note 6 9 6 8" xfId="38000"/>
    <cellStyle name="Note 6 9 7" xfId="11208"/>
    <cellStyle name="Note 6 9 8" xfId="11209"/>
    <cellStyle name="Note 6 9 9" xfId="11210"/>
    <cellStyle name="Note 60" xfId="11211"/>
    <cellStyle name="Note 60 10" xfId="11212"/>
    <cellStyle name="Note 60 11" xfId="11213"/>
    <cellStyle name="Note 60 12" xfId="38001"/>
    <cellStyle name="Note 60 13" xfId="38002"/>
    <cellStyle name="Note 60 14" xfId="38003"/>
    <cellStyle name="Note 60 2" xfId="11214"/>
    <cellStyle name="Note 60 2 10" xfId="11215"/>
    <cellStyle name="Note 60 2 11" xfId="38004"/>
    <cellStyle name="Note 60 2 12" xfId="38005"/>
    <cellStyle name="Note 60 2 13" xfId="38006"/>
    <cellStyle name="Note 60 2 2" xfId="11216"/>
    <cellStyle name="Note 60 2 2 2" xfId="11217"/>
    <cellStyle name="Note 60 2 2 3" xfId="11218"/>
    <cellStyle name="Note 60 2 2 4" xfId="11219"/>
    <cellStyle name="Note 60 2 2 5" xfId="11220"/>
    <cellStyle name="Note 60 2 2 6" xfId="38007"/>
    <cellStyle name="Note 60 2 2 7" xfId="38008"/>
    <cellStyle name="Note 60 2 2 8" xfId="38009"/>
    <cellStyle name="Note 60 2 3" xfId="11221"/>
    <cellStyle name="Note 60 2 3 2" xfId="11222"/>
    <cellStyle name="Note 60 2 3 3" xfId="11223"/>
    <cellStyle name="Note 60 2 3 4" xfId="11224"/>
    <cellStyle name="Note 60 2 3 5" xfId="11225"/>
    <cellStyle name="Note 60 2 3 6" xfId="38010"/>
    <cellStyle name="Note 60 2 3 7" xfId="38011"/>
    <cellStyle name="Note 60 2 3 8" xfId="38012"/>
    <cellStyle name="Note 60 2 4" xfId="11226"/>
    <cellStyle name="Note 60 2 4 2" xfId="11227"/>
    <cellStyle name="Note 60 2 4 3" xfId="11228"/>
    <cellStyle name="Note 60 2 4 4" xfId="11229"/>
    <cellStyle name="Note 60 2 4 5" xfId="11230"/>
    <cellStyle name="Note 60 2 4 6" xfId="38013"/>
    <cellStyle name="Note 60 2 4 7" xfId="38014"/>
    <cellStyle name="Note 60 2 4 8" xfId="38015"/>
    <cellStyle name="Note 60 2 5" xfId="11231"/>
    <cellStyle name="Note 60 2 5 2" xfId="11232"/>
    <cellStyle name="Note 60 2 5 3" xfId="11233"/>
    <cellStyle name="Note 60 2 5 4" xfId="11234"/>
    <cellStyle name="Note 60 2 5 5" xfId="11235"/>
    <cellStyle name="Note 60 2 5 6" xfId="38016"/>
    <cellStyle name="Note 60 2 5 7" xfId="38017"/>
    <cellStyle name="Note 60 2 5 8" xfId="38018"/>
    <cellStyle name="Note 60 2 6" xfId="11236"/>
    <cellStyle name="Note 60 2 6 2" xfId="11237"/>
    <cellStyle name="Note 60 2 6 3" xfId="11238"/>
    <cellStyle name="Note 60 2 6 4" xfId="11239"/>
    <cellStyle name="Note 60 2 6 5" xfId="11240"/>
    <cellStyle name="Note 60 2 6 6" xfId="38019"/>
    <cellStyle name="Note 60 2 6 7" xfId="38020"/>
    <cellStyle name="Note 60 2 6 8" xfId="38021"/>
    <cellStyle name="Note 60 2 7" xfId="11241"/>
    <cellStyle name="Note 60 2 8" xfId="11242"/>
    <cellStyle name="Note 60 2 9" xfId="11243"/>
    <cellStyle name="Note 60 3" xfId="11244"/>
    <cellStyle name="Note 60 3 2" xfId="11245"/>
    <cellStyle name="Note 60 3 3" xfId="11246"/>
    <cellStyle name="Note 60 3 4" xfId="11247"/>
    <cellStyle name="Note 60 3 5" xfId="11248"/>
    <cellStyle name="Note 60 3 6" xfId="38022"/>
    <cellStyle name="Note 60 3 7" xfId="38023"/>
    <cellStyle name="Note 60 3 8" xfId="38024"/>
    <cellStyle name="Note 60 4" xfId="11249"/>
    <cellStyle name="Note 60 4 2" xfId="11250"/>
    <cellStyle name="Note 60 4 3" xfId="11251"/>
    <cellStyle name="Note 60 4 4" xfId="11252"/>
    <cellStyle name="Note 60 4 5" xfId="11253"/>
    <cellStyle name="Note 60 4 6" xfId="38025"/>
    <cellStyle name="Note 60 4 7" xfId="38026"/>
    <cellStyle name="Note 60 4 8" xfId="38027"/>
    <cellStyle name="Note 60 5" xfId="11254"/>
    <cellStyle name="Note 60 5 2" xfId="11255"/>
    <cellStyle name="Note 60 5 3" xfId="11256"/>
    <cellStyle name="Note 60 5 4" xfId="11257"/>
    <cellStyle name="Note 60 5 5" xfId="11258"/>
    <cellStyle name="Note 60 5 6" xfId="38028"/>
    <cellStyle name="Note 60 5 7" xfId="38029"/>
    <cellStyle name="Note 60 5 8" xfId="38030"/>
    <cellStyle name="Note 60 6" xfId="11259"/>
    <cellStyle name="Note 60 6 2" xfId="11260"/>
    <cellStyle name="Note 60 6 3" xfId="11261"/>
    <cellStyle name="Note 60 6 4" xfId="11262"/>
    <cellStyle name="Note 60 6 5" xfId="11263"/>
    <cellStyle name="Note 60 6 6" xfId="38031"/>
    <cellStyle name="Note 60 6 7" xfId="38032"/>
    <cellStyle name="Note 60 6 8" xfId="38033"/>
    <cellStyle name="Note 60 7" xfId="11264"/>
    <cellStyle name="Note 60 7 2" xfId="11265"/>
    <cellStyle name="Note 60 7 3" xfId="11266"/>
    <cellStyle name="Note 60 7 4" xfId="11267"/>
    <cellStyle name="Note 60 7 5" xfId="11268"/>
    <cellStyle name="Note 60 7 6" xfId="38034"/>
    <cellStyle name="Note 60 7 7" xfId="38035"/>
    <cellStyle name="Note 60 7 8" xfId="38036"/>
    <cellStyle name="Note 60 8" xfId="11269"/>
    <cellStyle name="Note 60 9" xfId="11270"/>
    <cellStyle name="Note 61" xfId="11271"/>
    <cellStyle name="Note 61 10" xfId="11272"/>
    <cellStyle name="Note 61 11" xfId="11273"/>
    <cellStyle name="Note 61 12" xfId="38037"/>
    <cellStyle name="Note 61 13" xfId="38038"/>
    <cellStyle name="Note 61 14" xfId="38039"/>
    <cellStyle name="Note 61 2" xfId="11274"/>
    <cellStyle name="Note 61 2 10" xfId="11275"/>
    <cellStyle name="Note 61 2 11" xfId="38040"/>
    <cellStyle name="Note 61 2 12" xfId="38041"/>
    <cellStyle name="Note 61 2 13" xfId="38042"/>
    <cellStyle name="Note 61 2 2" xfId="11276"/>
    <cellStyle name="Note 61 2 2 2" xfId="11277"/>
    <cellStyle name="Note 61 2 2 3" xfId="11278"/>
    <cellStyle name="Note 61 2 2 4" xfId="11279"/>
    <cellStyle name="Note 61 2 2 5" xfId="11280"/>
    <cellStyle name="Note 61 2 2 6" xfId="38043"/>
    <cellStyle name="Note 61 2 2 7" xfId="38044"/>
    <cellStyle name="Note 61 2 2 8" xfId="38045"/>
    <cellStyle name="Note 61 2 3" xfId="11281"/>
    <cellStyle name="Note 61 2 3 2" xfId="11282"/>
    <cellStyle name="Note 61 2 3 3" xfId="11283"/>
    <cellStyle name="Note 61 2 3 4" xfId="11284"/>
    <cellStyle name="Note 61 2 3 5" xfId="11285"/>
    <cellStyle name="Note 61 2 3 6" xfId="38046"/>
    <cellStyle name="Note 61 2 3 7" xfId="38047"/>
    <cellStyle name="Note 61 2 3 8" xfId="38048"/>
    <cellStyle name="Note 61 2 4" xfId="11286"/>
    <cellStyle name="Note 61 2 4 2" xfId="11287"/>
    <cellStyle name="Note 61 2 4 3" xfId="11288"/>
    <cellStyle name="Note 61 2 4 4" xfId="11289"/>
    <cellStyle name="Note 61 2 4 5" xfId="11290"/>
    <cellStyle name="Note 61 2 4 6" xfId="38049"/>
    <cellStyle name="Note 61 2 4 7" xfId="38050"/>
    <cellStyle name="Note 61 2 4 8" xfId="38051"/>
    <cellStyle name="Note 61 2 5" xfId="11291"/>
    <cellStyle name="Note 61 2 5 2" xfId="11292"/>
    <cellStyle name="Note 61 2 5 3" xfId="11293"/>
    <cellStyle name="Note 61 2 5 4" xfId="11294"/>
    <cellStyle name="Note 61 2 5 5" xfId="11295"/>
    <cellStyle name="Note 61 2 5 6" xfId="38052"/>
    <cellStyle name="Note 61 2 5 7" xfId="38053"/>
    <cellStyle name="Note 61 2 5 8" xfId="38054"/>
    <cellStyle name="Note 61 2 6" xfId="11296"/>
    <cellStyle name="Note 61 2 6 2" xfId="11297"/>
    <cellStyle name="Note 61 2 6 3" xfId="11298"/>
    <cellStyle name="Note 61 2 6 4" xfId="11299"/>
    <cellStyle name="Note 61 2 6 5" xfId="11300"/>
    <cellStyle name="Note 61 2 6 6" xfId="38055"/>
    <cellStyle name="Note 61 2 6 7" xfId="38056"/>
    <cellStyle name="Note 61 2 6 8" xfId="38057"/>
    <cellStyle name="Note 61 2 7" xfId="11301"/>
    <cellStyle name="Note 61 2 8" xfId="11302"/>
    <cellStyle name="Note 61 2 9" xfId="11303"/>
    <cellStyle name="Note 61 3" xfId="11304"/>
    <cellStyle name="Note 61 3 2" xfId="11305"/>
    <cellStyle name="Note 61 3 3" xfId="11306"/>
    <cellStyle name="Note 61 3 4" xfId="11307"/>
    <cellStyle name="Note 61 3 5" xfId="11308"/>
    <cellStyle name="Note 61 3 6" xfId="38058"/>
    <cellStyle name="Note 61 3 7" xfId="38059"/>
    <cellStyle name="Note 61 3 8" xfId="38060"/>
    <cellStyle name="Note 61 4" xfId="11309"/>
    <cellStyle name="Note 61 4 2" xfId="11310"/>
    <cellStyle name="Note 61 4 3" xfId="11311"/>
    <cellStyle name="Note 61 4 4" xfId="11312"/>
    <cellStyle name="Note 61 4 5" xfId="11313"/>
    <cellStyle name="Note 61 4 6" xfId="38061"/>
    <cellStyle name="Note 61 4 7" xfId="38062"/>
    <cellStyle name="Note 61 4 8" xfId="38063"/>
    <cellStyle name="Note 61 5" xfId="11314"/>
    <cellStyle name="Note 61 5 2" xfId="11315"/>
    <cellStyle name="Note 61 5 3" xfId="11316"/>
    <cellStyle name="Note 61 5 4" xfId="11317"/>
    <cellStyle name="Note 61 5 5" xfId="11318"/>
    <cellStyle name="Note 61 5 6" xfId="38064"/>
    <cellStyle name="Note 61 5 7" xfId="38065"/>
    <cellStyle name="Note 61 5 8" xfId="38066"/>
    <cellStyle name="Note 61 6" xfId="11319"/>
    <cellStyle name="Note 61 6 2" xfId="11320"/>
    <cellStyle name="Note 61 6 3" xfId="11321"/>
    <cellStyle name="Note 61 6 4" xfId="11322"/>
    <cellStyle name="Note 61 6 5" xfId="11323"/>
    <cellStyle name="Note 61 6 6" xfId="38067"/>
    <cellStyle name="Note 61 6 7" xfId="38068"/>
    <cellStyle name="Note 61 6 8" xfId="38069"/>
    <cellStyle name="Note 61 7" xfId="11324"/>
    <cellStyle name="Note 61 7 2" xfId="11325"/>
    <cellStyle name="Note 61 7 3" xfId="11326"/>
    <cellStyle name="Note 61 7 4" xfId="11327"/>
    <cellStyle name="Note 61 7 5" xfId="11328"/>
    <cellStyle name="Note 61 7 6" xfId="38070"/>
    <cellStyle name="Note 61 7 7" xfId="38071"/>
    <cellStyle name="Note 61 7 8" xfId="38072"/>
    <cellStyle name="Note 61 8" xfId="11329"/>
    <cellStyle name="Note 61 9" xfId="11330"/>
    <cellStyle name="Note 62" xfId="11331"/>
    <cellStyle name="Note 62 10" xfId="11332"/>
    <cellStyle name="Note 62 11" xfId="11333"/>
    <cellStyle name="Note 62 12" xfId="38073"/>
    <cellStyle name="Note 62 13" xfId="38074"/>
    <cellStyle name="Note 62 14" xfId="38075"/>
    <cellStyle name="Note 62 2" xfId="11334"/>
    <cellStyle name="Note 62 2 10" xfId="11335"/>
    <cellStyle name="Note 62 2 11" xfId="38076"/>
    <cellStyle name="Note 62 2 12" xfId="38077"/>
    <cellStyle name="Note 62 2 13" xfId="38078"/>
    <cellStyle name="Note 62 2 2" xfId="11336"/>
    <cellStyle name="Note 62 2 2 2" xfId="11337"/>
    <cellStyle name="Note 62 2 2 3" xfId="11338"/>
    <cellStyle name="Note 62 2 2 4" xfId="11339"/>
    <cellStyle name="Note 62 2 2 5" xfId="11340"/>
    <cellStyle name="Note 62 2 2 6" xfId="38079"/>
    <cellStyle name="Note 62 2 2 7" xfId="38080"/>
    <cellStyle name="Note 62 2 2 8" xfId="38081"/>
    <cellStyle name="Note 62 2 3" xfId="11341"/>
    <cellStyle name="Note 62 2 3 2" xfId="11342"/>
    <cellStyle name="Note 62 2 3 3" xfId="11343"/>
    <cellStyle name="Note 62 2 3 4" xfId="11344"/>
    <cellStyle name="Note 62 2 3 5" xfId="11345"/>
    <cellStyle name="Note 62 2 3 6" xfId="38082"/>
    <cellStyle name="Note 62 2 3 7" xfId="38083"/>
    <cellStyle name="Note 62 2 3 8" xfId="38084"/>
    <cellStyle name="Note 62 2 4" xfId="11346"/>
    <cellStyle name="Note 62 2 4 2" xfId="11347"/>
    <cellStyle name="Note 62 2 4 3" xfId="11348"/>
    <cellStyle name="Note 62 2 4 4" xfId="11349"/>
    <cellStyle name="Note 62 2 4 5" xfId="11350"/>
    <cellStyle name="Note 62 2 4 6" xfId="38085"/>
    <cellStyle name="Note 62 2 4 7" xfId="38086"/>
    <cellStyle name="Note 62 2 4 8" xfId="38087"/>
    <cellStyle name="Note 62 2 5" xfId="11351"/>
    <cellStyle name="Note 62 2 5 2" xfId="11352"/>
    <cellStyle name="Note 62 2 5 3" xfId="11353"/>
    <cellStyle name="Note 62 2 5 4" xfId="11354"/>
    <cellStyle name="Note 62 2 5 5" xfId="11355"/>
    <cellStyle name="Note 62 2 5 6" xfId="38088"/>
    <cellStyle name="Note 62 2 5 7" xfId="38089"/>
    <cellStyle name="Note 62 2 5 8" xfId="38090"/>
    <cellStyle name="Note 62 2 6" xfId="11356"/>
    <cellStyle name="Note 62 2 6 2" xfId="11357"/>
    <cellStyle name="Note 62 2 6 3" xfId="11358"/>
    <cellStyle name="Note 62 2 6 4" xfId="11359"/>
    <cellStyle name="Note 62 2 6 5" xfId="11360"/>
    <cellStyle name="Note 62 2 6 6" xfId="38091"/>
    <cellStyle name="Note 62 2 6 7" xfId="38092"/>
    <cellStyle name="Note 62 2 6 8" xfId="38093"/>
    <cellStyle name="Note 62 2 7" xfId="11361"/>
    <cellStyle name="Note 62 2 8" xfId="11362"/>
    <cellStyle name="Note 62 2 9" xfId="11363"/>
    <cellStyle name="Note 62 3" xfId="11364"/>
    <cellStyle name="Note 62 3 2" xfId="11365"/>
    <cellStyle name="Note 62 3 3" xfId="11366"/>
    <cellStyle name="Note 62 3 4" xfId="11367"/>
    <cellStyle name="Note 62 3 5" xfId="11368"/>
    <cellStyle name="Note 62 3 6" xfId="38094"/>
    <cellStyle name="Note 62 3 7" xfId="38095"/>
    <cellStyle name="Note 62 3 8" xfId="38096"/>
    <cellStyle name="Note 62 4" xfId="11369"/>
    <cellStyle name="Note 62 4 2" xfId="11370"/>
    <cellStyle name="Note 62 4 3" xfId="11371"/>
    <cellStyle name="Note 62 4 4" xfId="11372"/>
    <cellStyle name="Note 62 4 5" xfId="11373"/>
    <cellStyle name="Note 62 4 6" xfId="38097"/>
    <cellStyle name="Note 62 4 7" xfId="38098"/>
    <cellStyle name="Note 62 4 8" xfId="38099"/>
    <cellStyle name="Note 62 5" xfId="11374"/>
    <cellStyle name="Note 62 5 2" xfId="11375"/>
    <cellStyle name="Note 62 5 3" xfId="11376"/>
    <cellStyle name="Note 62 5 4" xfId="11377"/>
    <cellStyle name="Note 62 5 5" xfId="11378"/>
    <cellStyle name="Note 62 5 6" xfId="38100"/>
    <cellStyle name="Note 62 5 7" xfId="38101"/>
    <cellStyle name="Note 62 5 8" xfId="38102"/>
    <cellStyle name="Note 62 6" xfId="11379"/>
    <cellStyle name="Note 62 6 2" xfId="11380"/>
    <cellStyle name="Note 62 6 3" xfId="11381"/>
    <cellStyle name="Note 62 6 4" xfId="11382"/>
    <cellStyle name="Note 62 6 5" xfId="11383"/>
    <cellStyle name="Note 62 6 6" xfId="38103"/>
    <cellStyle name="Note 62 6 7" xfId="38104"/>
    <cellStyle name="Note 62 6 8" xfId="38105"/>
    <cellStyle name="Note 62 7" xfId="11384"/>
    <cellStyle name="Note 62 7 2" xfId="11385"/>
    <cellStyle name="Note 62 7 3" xfId="11386"/>
    <cellStyle name="Note 62 7 4" xfId="11387"/>
    <cellStyle name="Note 62 7 5" xfId="11388"/>
    <cellStyle name="Note 62 7 6" xfId="38106"/>
    <cellStyle name="Note 62 7 7" xfId="38107"/>
    <cellStyle name="Note 62 7 8" xfId="38108"/>
    <cellStyle name="Note 62 8" xfId="11389"/>
    <cellStyle name="Note 62 9" xfId="11390"/>
    <cellStyle name="Note 63" xfId="11391"/>
    <cellStyle name="Note 63 10" xfId="11392"/>
    <cellStyle name="Note 63 11" xfId="11393"/>
    <cellStyle name="Note 63 12" xfId="38109"/>
    <cellStyle name="Note 63 13" xfId="38110"/>
    <cellStyle name="Note 63 14" xfId="38111"/>
    <cellStyle name="Note 63 2" xfId="11394"/>
    <cellStyle name="Note 63 2 10" xfId="11395"/>
    <cellStyle name="Note 63 2 11" xfId="38112"/>
    <cellStyle name="Note 63 2 12" xfId="38113"/>
    <cellStyle name="Note 63 2 13" xfId="38114"/>
    <cellStyle name="Note 63 2 2" xfId="11396"/>
    <cellStyle name="Note 63 2 2 2" xfId="11397"/>
    <cellStyle name="Note 63 2 2 3" xfId="11398"/>
    <cellStyle name="Note 63 2 2 4" xfId="11399"/>
    <cellStyle name="Note 63 2 2 5" xfId="11400"/>
    <cellStyle name="Note 63 2 2 6" xfId="38115"/>
    <cellStyle name="Note 63 2 2 7" xfId="38116"/>
    <cellStyle name="Note 63 2 2 8" xfId="38117"/>
    <cellStyle name="Note 63 2 3" xfId="11401"/>
    <cellStyle name="Note 63 2 3 2" xfId="11402"/>
    <cellStyle name="Note 63 2 3 3" xfId="11403"/>
    <cellStyle name="Note 63 2 3 4" xfId="11404"/>
    <cellStyle name="Note 63 2 3 5" xfId="11405"/>
    <cellStyle name="Note 63 2 3 6" xfId="38118"/>
    <cellStyle name="Note 63 2 3 7" xfId="38119"/>
    <cellStyle name="Note 63 2 3 8" xfId="38120"/>
    <cellStyle name="Note 63 2 4" xfId="11406"/>
    <cellStyle name="Note 63 2 4 2" xfId="11407"/>
    <cellStyle name="Note 63 2 4 3" xfId="11408"/>
    <cellStyle name="Note 63 2 4 4" xfId="11409"/>
    <cellStyle name="Note 63 2 4 5" xfId="11410"/>
    <cellStyle name="Note 63 2 4 6" xfId="38121"/>
    <cellStyle name="Note 63 2 4 7" xfId="38122"/>
    <cellStyle name="Note 63 2 4 8" xfId="38123"/>
    <cellStyle name="Note 63 2 5" xfId="11411"/>
    <cellStyle name="Note 63 2 5 2" xfId="11412"/>
    <cellStyle name="Note 63 2 5 3" xfId="11413"/>
    <cellStyle name="Note 63 2 5 4" xfId="11414"/>
    <cellStyle name="Note 63 2 5 5" xfId="11415"/>
    <cellStyle name="Note 63 2 5 6" xfId="38124"/>
    <cellStyle name="Note 63 2 5 7" xfId="38125"/>
    <cellStyle name="Note 63 2 5 8" xfId="38126"/>
    <cellStyle name="Note 63 2 6" xfId="11416"/>
    <cellStyle name="Note 63 2 6 2" xfId="11417"/>
    <cellStyle name="Note 63 2 6 3" xfId="11418"/>
    <cellStyle name="Note 63 2 6 4" xfId="11419"/>
    <cellStyle name="Note 63 2 6 5" xfId="11420"/>
    <cellStyle name="Note 63 2 6 6" xfId="38127"/>
    <cellStyle name="Note 63 2 6 7" xfId="38128"/>
    <cellStyle name="Note 63 2 6 8" xfId="38129"/>
    <cellStyle name="Note 63 2 7" xfId="11421"/>
    <cellStyle name="Note 63 2 8" xfId="11422"/>
    <cellStyle name="Note 63 2 9" xfId="11423"/>
    <cellStyle name="Note 63 3" xfId="11424"/>
    <cellStyle name="Note 63 3 2" xfId="11425"/>
    <cellStyle name="Note 63 3 3" xfId="11426"/>
    <cellStyle name="Note 63 3 4" xfId="11427"/>
    <cellStyle name="Note 63 3 5" xfId="11428"/>
    <cellStyle name="Note 63 3 6" xfId="38130"/>
    <cellStyle name="Note 63 3 7" xfId="38131"/>
    <cellStyle name="Note 63 3 8" xfId="38132"/>
    <cellStyle name="Note 63 4" xfId="11429"/>
    <cellStyle name="Note 63 4 2" xfId="11430"/>
    <cellStyle name="Note 63 4 3" xfId="11431"/>
    <cellStyle name="Note 63 4 4" xfId="11432"/>
    <cellStyle name="Note 63 4 5" xfId="11433"/>
    <cellStyle name="Note 63 4 6" xfId="38133"/>
    <cellStyle name="Note 63 4 7" xfId="38134"/>
    <cellStyle name="Note 63 4 8" xfId="38135"/>
    <cellStyle name="Note 63 5" xfId="11434"/>
    <cellStyle name="Note 63 5 2" xfId="11435"/>
    <cellStyle name="Note 63 5 3" xfId="11436"/>
    <cellStyle name="Note 63 5 4" xfId="11437"/>
    <cellStyle name="Note 63 5 5" xfId="11438"/>
    <cellStyle name="Note 63 5 6" xfId="38136"/>
    <cellStyle name="Note 63 5 7" xfId="38137"/>
    <cellStyle name="Note 63 5 8" xfId="38138"/>
    <cellStyle name="Note 63 6" xfId="11439"/>
    <cellStyle name="Note 63 6 2" xfId="11440"/>
    <cellStyle name="Note 63 6 3" xfId="11441"/>
    <cellStyle name="Note 63 6 4" xfId="11442"/>
    <cellStyle name="Note 63 6 5" xfId="11443"/>
    <cellStyle name="Note 63 6 6" xfId="38139"/>
    <cellStyle name="Note 63 6 7" xfId="38140"/>
    <cellStyle name="Note 63 6 8" xfId="38141"/>
    <cellStyle name="Note 63 7" xfId="11444"/>
    <cellStyle name="Note 63 7 2" xfId="11445"/>
    <cellStyle name="Note 63 7 3" xfId="11446"/>
    <cellStyle name="Note 63 7 4" xfId="11447"/>
    <cellStyle name="Note 63 7 5" xfId="11448"/>
    <cellStyle name="Note 63 7 6" xfId="38142"/>
    <cellStyle name="Note 63 7 7" xfId="38143"/>
    <cellStyle name="Note 63 7 8" xfId="38144"/>
    <cellStyle name="Note 63 8" xfId="11449"/>
    <cellStyle name="Note 63 9" xfId="11450"/>
    <cellStyle name="Note 64" xfId="11451"/>
    <cellStyle name="Note 64 10" xfId="11452"/>
    <cellStyle name="Note 64 11" xfId="11453"/>
    <cellStyle name="Note 64 12" xfId="38145"/>
    <cellStyle name="Note 64 13" xfId="38146"/>
    <cellStyle name="Note 64 14" xfId="38147"/>
    <cellStyle name="Note 64 2" xfId="11454"/>
    <cellStyle name="Note 64 2 10" xfId="11455"/>
    <cellStyle name="Note 64 2 11" xfId="38148"/>
    <cellStyle name="Note 64 2 12" xfId="38149"/>
    <cellStyle name="Note 64 2 13" xfId="38150"/>
    <cellStyle name="Note 64 2 2" xfId="11456"/>
    <cellStyle name="Note 64 2 2 2" xfId="11457"/>
    <cellStyle name="Note 64 2 2 3" xfId="11458"/>
    <cellStyle name="Note 64 2 2 4" xfId="11459"/>
    <cellStyle name="Note 64 2 2 5" xfId="11460"/>
    <cellStyle name="Note 64 2 2 6" xfId="38151"/>
    <cellStyle name="Note 64 2 2 7" xfId="38152"/>
    <cellStyle name="Note 64 2 2 8" xfId="38153"/>
    <cellStyle name="Note 64 2 3" xfId="11461"/>
    <cellStyle name="Note 64 2 3 2" xfId="11462"/>
    <cellStyle name="Note 64 2 3 3" xfId="11463"/>
    <cellStyle name="Note 64 2 3 4" xfId="11464"/>
    <cellStyle name="Note 64 2 3 5" xfId="11465"/>
    <cellStyle name="Note 64 2 3 6" xfId="38154"/>
    <cellStyle name="Note 64 2 3 7" xfId="38155"/>
    <cellStyle name="Note 64 2 3 8" xfId="38156"/>
    <cellStyle name="Note 64 2 4" xfId="11466"/>
    <cellStyle name="Note 64 2 4 2" xfId="11467"/>
    <cellStyle name="Note 64 2 4 3" xfId="11468"/>
    <cellStyle name="Note 64 2 4 4" xfId="11469"/>
    <cellStyle name="Note 64 2 4 5" xfId="11470"/>
    <cellStyle name="Note 64 2 4 6" xfId="38157"/>
    <cellStyle name="Note 64 2 4 7" xfId="38158"/>
    <cellStyle name="Note 64 2 4 8" xfId="38159"/>
    <cellStyle name="Note 64 2 5" xfId="11471"/>
    <cellStyle name="Note 64 2 5 2" xfId="11472"/>
    <cellStyle name="Note 64 2 5 3" xfId="11473"/>
    <cellStyle name="Note 64 2 5 4" xfId="11474"/>
    <cellStyle name="Note 64 2 5 5" xfId="11475"/>
    <cellStyle name="Note 64 2 5 6" xfId="38160"/>
    <cellStyle name="Note 64 2 5 7" xfId="38161"/>
    <cellStyle name="Note 64 2 5 8" xfId="38162"/>
    <cellStyle name="Note 64 2 6" xfId="11476"/>
    <cellStyle name="Note 64 2 6 2" xfId="11477"/>
    <cellStyle name="Note 64 2 6 3" xfId="11478"/>
    <cellStyle name="Note 64 2 6 4" xfId="11479"/>
    <cellStyle name="Note 64 2 6 5" xfId="11480"/>
    <cellStyle name="Note 64 2 6 6" xfId="38163"/>
    <cellStyle name="Note 64 2 6 7" xfId="38164"/>
    <cellStyle name="Note 64 2 6 8" xfId="38165"/>
    <cellStyle name="Note 64 2 7" xfId="11481"/>
    <cellStyle name="Note 64 2 8" xfId="11482"/>
    <cellStyle name="Note 64 2 9" xfId="11483"/>
    <cellStyle name="Note 64 3" xfId="11484"/>
    <cellStyle name="Note 64 3 2" xfId="11485"/>
    <cellStyle name="Note 64 3 3" xfId="11486"/>
    <cellStyle name="Note 64 3 4" xfId="11487"/>
    <cellStyle name="Note 64 3 5" xfId="11488"/>
    <cellStyle name="Note 64 3 6" xfId="38166"/>
    <cellStyle name="Note 64 3 7" xfId="38167"/>
    <cellStyle name="Note 64 3 8" xfId="38168"/>
    <cellStyle name="Note 64 4" xfId="11489"/>
    <cellStyle name="Note 64 4 2" xfId="11490"/>
    <cellStyle name="Note 64 4 3" xfId="11491"/>
    <cellStyle name="Note 64 4 4" xfId="11492"/>
    <cellStyle name="Note 64 4 5" xfId="11493"/>
    <cellStyle name="Note 64 4 6" xfId="38169"/>
    <cellStyle name="Note 64 4 7" xfId="38170"/>
    <cellStyle name="Note 64 4 8" xfId="38171"/>
    <cellStyle name="Note 64 5" xfId="11494"/>
    <cellStyle name="Note 64 5 2" xfId="11495"/>
    <cellStyle name="Note 64 5 3" xfId="11496"/>
    <cellStyle name="Note 64 5 4" xfId="11497"/>
    <cellStyle name="Note 64 5 5" xfId="11498"/>
    <cellStyle name="Note 64 5 6" xfId="38172"/>
    <cellStyle name="Note 64 5 7" xfId="38173"/>
    <cellStyle name="Note 64 5 8" xfId="38174"/>
    <cellStyle name="Note 64 6" xfId="11499"/>
    <cellStyle name="Note 64 6 2" xfId="11500"/>
    <cellStyle name="Note 64 6 3" xfId="11501"/>
    <cellStyle name="Note 64 6 4" xfId="11502"/>
    <cellStyle name="Note 64 6 5" xfId="11503"/>
    <cellStyle name="Note 64 6 6" xfId="38175"/>
    <cellStyle name="Note 64 6 7" xfId="38176"/>
    <cellStyle name="Note 64 6 8" xfId="38177"/>
    <cellStyle name="Note 64 7" xfId="11504"/>
    <cellStyle name="Note 64 7 2" xfId="11505"/>
    <cellStyle name="Note 64 7 3" xfId="11506"/>
    <cellStyle name="Note 64 7 4" xfId="11507"/>
    <cellStyle name="Note 64 7 5" xfId="11508"/>
    <cellStyle name="Note 64 7 6" xfId="38178"/>
    <cellStyle name="Note 64 7 7" xfId="38179"/>
    <cellStyle name="Note 64 7 8" xfId="38180"/>
    <cellStyle name="Note 64 8" xfId="11509"/>
    <cellStyle name="Note 64 9" xfId="11510"/>
    <cellStyle name="Note 65" xfId="11511"/>
    <cellStyle name="Note 65 10" xfId="11512"/>
    <cellStyle name="Note 65 11" xfId="11513"/>
    <cellStyle name="Note 65 12" xfId="38181"/>
    <cellStyle name="Note 65 13" xfId="38182"/>
    <cellStyle name="Note 65 14" xfId="38183"/>
    <cellStyle name="Note 65 2" xfId="11514"/>
    <cellStyle name="Note 65 2 10" xfId="11515"/>
    <cellStyle name="Note 65 2 11" xfId="38184"/>
    <cellStyle name="Note 65 2 12" xfId="38185"/>
    <cellStyle name="Note 65 2 13" xfId="38186"/>
    <cellStyle name="Note 65 2 2" xfId="11516"/>
    <cellStyle name="Note 65 2 2 2" xfId="11517"/>
    <cellStyle name="Note 65 2 2 3" xfId="11518"/>
    <cellStyle name="Note 65 2 2 4" xfId="11519"/>
    <cellStyle name="Note 65 2 2 5" xfId="11520"/>
    <cellStyle name="Note 65 2 2 6" xfId="38187"/>
    <cellStyle name="Note 65 2 2 7" xfId="38188"/>
    <cellStyle name="Note 65 2 2 8" xfId="38189"/>
    <cellStyle name="Note 65 2 3" xfId="11521"/>
    <cellStyle name="Note 65 2 3 2" xfId="11522"/>
    <cellStyle name="Note 65 2 3 3" xfId="11523"/>
    <cellStyle name="Note 65 2 3 4" xfId="11524"/>
    <cellStyle name="Note 65 2 3 5" xfId="11525"/>
    <cellStyle name="Note 65 2 3 6" xfId="38190"/>
    <cellStyle name="Note 65 2 3 7" xfId="38191"/>
    <cellStyle name="Note 65 2 3 8" xfId="38192"/>
    <cellStyle name="Note 65 2 4" xfId="11526"/>
    <cellStyle name="Note 65 2 4 2" xfId="11527"/>
    <cellStyle name="Note 65 2 4 3" xfId="11528"/>
    <cellStyle name="Note 65 2 4 4" xfId="11529"/>
    <cellStyle name="Note 65 2 4 5" xfId="11530"/>
    <cellStyle name="Note 65 2 4 6" xfId="38193"/>
    <cellStyle name="Note 65 2 4 7" xfId="38194"/>
    <cellStyle name="Note 65 2 4 8" xfId="38195"/>
    <cellStyle name="Note 65 2 5" xfId="11531"/>
    <cellStyle name="Note 65 2 5 2" xfId="11532"/>
    <cellStyle name="Note 65 2 5 3" xfId="11533"/>
    <cellStyle name="Note 65 2 5 4" xfId="11534"/>
    <cellStyle name="Note 65 2 5 5" xfId="11535"/>
    <cellStyle name="Note 65 2 5 6" xfId="38196"/>
    <cellStyle name="Note 65 2 5 7" xfId="38197"/>
    <cellStyle name="Note 65 2 5 8" xfId="38198"/>
    <cellStyle name="Note 65 2 6" xfId="11536"/>
    <cellStyle name="Note 65 2 6 2" xfId="11537"/>
    <cellStyle name="Note 65 2 6 3" xfId="11538"/>
    <cellStyle name="Note 65 2 6 4" xfId="11539"/>
    <cellStyle name="Note 65 2 6 5" xfId="11540"/>
    <cellStyle name="Note 65 2 6 6" xfId="38199"/>
    <cellStyle name="Note 65 2 6 7" xfId="38200"/>
    <cellStyle name="Note 65 2 6 8" xfId="38201"/>
    <cellStyle name="Note 65 2 7" xfId="11541"/>
    <cellStyle name="Note 65 2 8" xfId="11542"/>
    <cellStyle name="Note 65 2 9" xfId="11543"/>
    <cellStyle name="Note 65 3" xfId="11544"/>
    <cellStyle name="Note 65 3 2" xfId="11545"/>
    <cellStyle name="Note 65 3 3" xfId="11546"/>
    <cellStyle name="Note 65 3 4" xfId="11547"/>
    <cellStyle name="Note 65 3 5" xfId="11548"/>
    <cellStyle name="Note 65 3 6" xfId="38202"/>
    <cellStyle name="Note 65 3 7" xfId="38203"/>
    <cellStyle name="Note 65 3 8" xfId="38204"/>
    <cellStyle name="Note 65 4" xfId="11549"/>
    <cellStyle name="Note 65 4 2" xfId="11550"/>
    <cellStyle name="Note 65 4 3" xfId="11551"/>
    <cellStyle name="Note 65 4 4" xfId="11552"/>
    <cellStyle name="Note 65 4 5" xfId="11553"/>
    <cellStyle name="Note 65 4 6" xfId="38205"/>
    <cellStyle name="Note 65 4 7" xfId="38206"/>
    <cellStyle name="Note 65 4 8" xfId="38207"/>
    <cellStyle name="Note 65 5" xfId="11554"/>
    <cellStyle name="Note 65 5 2" xfId="11555"/>
    <cellStyle name="Note 65 5 3" xfId="11556"/>
    <cellStyle name="Note 65 5 4" xfId="11557"/>
    <cellStyle name="Note 65 5 5" xfId="11558"/>
    <cellStyle name="Note 65 5 6" xfId="38208"/>
    <cellStyle name="Note 65 5 7" xfId="38209"/>
    <cellStyle name="Note 65 5 8" xfId="38210"/>
    <cellStyle name="Note 65 6" xfId="11559"/>
    <cellStyle name="Note 65 6 2" xfId="11560"/>
    <cellStyle name="Note 65 6 3" xfId="11561"/>
    <cellStyle name="Note 65 6 4" xfId="11562"/>
    <cellStyle name="Note 65 6 5" xfId="11563"/>
    <cellStyle name="Note 65 6 6" xfId="38211"/>
    <cellStyle name="Note 65 6 7" xfId="38212"/>
    <cellStyle name="Note 65 6 8" xfId="38213"/>
    <cellStyle name="Note 65 7" xfId="11564"/>
    <cellStyle name="Note 65 7 2" xfId="11565"/>
    <cellStyle name="Note 65 7 3" xfId="11566"/>
    <cellStyle name="Note 65 7 4" xfId="11567"/>
    <cellStyle name="Note 65 7 5" xfId="11568"/>
    <cellStyle name="Note 65 7 6" xfId="38214"/>
    <cellStyle name="Note 65 7 7" xfId="38215"/>
    <cellStyle name="Note 65 7 8" xfId="38216"/>
    <cellStyle name="Note 65 8" xfId="11569"/>
    <cellStyle name="Note 65 9" xfId="11570"/>
    <cellStyle name="Note 66" xfId="11571"/>
    <cellStyle name="Note 66 10" xfId="11572"/>
    <cellStyle name="Note 66 11" xfId="11573"/>
    <cellStyle name="Note 66 12" xfId="38217"/>
    <cellStyle name="Note 66 13" xfId="38218"/>
    <cellStyle name="Note 66 14" xfId="38219"/>
    <cellStyle name="Note 66 2" xfId="11574"/>
    <cellStyle name="Note 66 2 10" xfId="11575"/>
    <cellStyle name="Note 66 2 11" xfId="38220"/>
    <cellStyle name="Note 66 2 12" xfId="38221"/>
    <cellStyle name="Note 66 2 13" xfId="38222"/>
    <cellStyle name="Note 66 2 2" xfId="11576"/>
    <cellStyle name="Note 66 2 2 2" xfId="11577"/>
    <cellStyle name="Note 66 2 2 3" xfId="11578"/>
    <cellStyle name="Note 66 2 2 4" xfId="11579"/>
    <cellStyle name="Note 66 2 2 5" xfId="11580"/>
    <cellStyle name="Note 66 2 2 6" xfId="38223"/>
    <cellStyle name="Note 66 2 2 7" xfId="38224"/>
    <cellStyle name="Note 66 2 2 8" xfId="38225"/>
    <cellStyle name="Note 66 2 3" xfId="11581"/>
    <cellStyle name="Note 66 2 3 2" xfId="11582"/>
    <cellStyle name="Note 66 2 3 3" xfId="11583"/>
    <cellStyle name="Note 66 2 3 4" xfId="11584"/>
    <cellStyle name="Note 66 2 3 5" xfId="11585"/>
    <cellStyle name="Note 66 2 3 6" xfId="38226"/>
    <cellStyle name="Note 66 2 3 7" xfId="38227"/>
    <cellStyle name="Note 66 2 3 8" xfId="38228"/>
    <cellStyle name="Note 66 2 4" xfId="11586"/>
    <cellStyle name="Note 66 2 4 2" xfId="11587"/>
    <cellStyle name="Note 66 2 4 3" xfId="11588"/>
    <cellStyle name="Note 66 2 4 4" xfId="11589"/>
    <cellStyle name="Note 66 2 4 5" xfId="11590"/>
    <cellStyle name="Note 66 2 4 6" xfId="38229"/>
    <cellStyle name="Note 66 2 4 7" xfId="38230"/>
    <cellStyle name="Note 66 2 4 8" xfId="38231"/>
    <cellStyle name="Note 66 2 5" xfId="11591"/>
    <cellStyle name="Note 66 2 5 2" xfId="11592"/>
    <cellStyle name="Note 66 2 5 3" xfId="11593"/>
    <cellStyle name="Note 66 2 5 4" xfId="11594"/>
    <cellStyle name="Note 66 2 5 5" xfId="11595"/>
    <cellStyle name="Note 66 2 5 6" xfId="38232"/>
    <cellStyle name="Note 66 2 5 7" xfId="38233"/>
    <cellStyle name="Note 66 2 5 8" xfId="38234"/>
    <cellStyle name="Note 66 2 6" xfId="11596"/>
    <cellStyle name="Note 66 2 6 2" xfId="11597"/>
    <cellStyle name="Note 66 2 6 3" xfId="11598"/>
    <cellStyle name="Note 66 2 6 4" xfId="11599"/>
    <cellStyle name="Note 66 2 6 5" xfId="11600"/>
    <cellStyle name="Note 66 2 6 6" xfId="38235"/>
    <cellStyle name="Note 66 2 6 7" xfId="38236"/>
    <cellStyle name="Note 66 2 6 8" xfId="38237"/>
    <cellStyle name="Note 66 2 7" xfId="11601"/>
    <cellStyle name="Note 66 2 8" xfId="11602"/>
    <cellStyle name="Note 66 2 9" xfId="11603"/>
    <cellStyle name="Note 66 3" xfId="11604"/>
    <cellStyle name="Note 66 3 2" xfId="11605"/>
    <cellStyle name="Note 66 3 3" xfId="11606"/>
    <cellStyle name="Note 66 3 4" xfId="11607"/>
    <cellStyle name="Note 66 3 5" xfId="11608"/>
    <cellStyle name="Note 66 3 6" xfId="38238"/>
    <cellStyle name="Note 66 3 7" xfId="38239"/>
    <cellStyle name="Note 66 3 8" xfId="38240"/>
    <cellStyle name="Note 66 4" xfId="11609"/>
    <cellStyle name="Note 66 4 2" xfId="11610"/>
    <cellStyle name="Note 66 4 3" xfId="11611"/>
    <cellStyle name="Note 66 4 4" xfId="11612"/>
    <cellStyle name="Note 66 4 5" xfId="11613"/>
    <cellStyle name="Note 66 4 6" xfId="38241"/>
    <cellStyle name="Note 66 4 7" xfId="38242"/>
    <cellStyle name="Note 66 4 8" xfId="38243"/>
    <cellStyle name="Note 66 5" xfId="11614"/>
    <cellStyle name="Note 66 5 2" xfId="11615"/>
    <cellStyle name="Note 66 5 3" xfId="11616"/>
    <cellStyle name="Note 66 5 4" xfId="11617"/>
    <cellStyle name="Note 66 5 5" xfId="11618"/>
    <cellStyle name="Note 66 5 6" xfId="38244"/>
    <cellStyle name="Note 66 5 7" xfId="38245"/>
    <cellStyle name="Note 66 5 8" xfId="38246"/>
    <cellStyle name="Note 66 6" xfId="11619"/>
    <cellStyle name="Note 66 6 2" xfId="11620"/>
    <cellStyle name="Note 66 6 3" xfId="11621"/>
    <cellStyle name="Note 66 6 4" xfId="11622"/>
    <cellStyle name="Note 66 6 5" xfId="11623"/>
    <cellStyle name="Note 66 6 6" xfId="38247"/>
    <cellStyle name="Note 66 6 7" xfId="38248"/>
    <cellStyle name="Note 66 6 8" xfId="38249"/>
    <cellStyle name="Note 66 7" xfId="11624"/>
    <cellStyle name="Note 66 7 2" xfId="11625"/>
    <cellStyle name="Note 66 7 3" xfId="11626"/>
    <cellStyle name="Note 66 7 4" xfId="11627"/>
    <cellStyle name="Note 66 7 5" xfId="11628"/>
    <cellStyle name="Note 66 7 6" xfId="38250"/>
    <cellStyle name="Note 66 7 7" xfId="38251"/>
    <cellStyle name="Note 66 7 8" xfId="38252"/>
    <cellStyle name="Note 66 8" xfId="11629"/>
    <cellStyle name="Note 66 9" xfId="11630"/>
    <cellStyle name="Note 67" xfId="11631"/>
    <cellStyle name="Note 67 10" xfId="11632"/>
    <cellStyle name="Note 67 11" xfId="11633"/>
    <cellStyle name="Note 67 12" xfId="38253"/>
    <cellStyle name="Note 67 13" xfId="38254"/>
    <cellStyle name="Note 67 14" xfId="38255"/>
    <cellStyle name="Note 67 2" xfId="11634"/>
    <cellStyle name="Note 67 2 10" xfId="11635"/>
    <cellStyle name="Note 67 2 11" xfId="38256"/>
    <cellStyle name="Note 67 2 12" xfId="38257"/>
    <cellStyle name="Note 67 2 13" xfId="38258"/>
    <cellStyle name="Note 67 2 2" xfId="11636"/>
    <cellStyle name="Note 67 2 2 2" xfId="11637"/>
    <cellStyle name="Note 67 2 2 3" xfId="11638"/>
    <cellStyle name="Note 67 2 2 4" xfId="11639"/>
    <cellStyle name="Note 67 2 2 5" xfId="11640"/>
    <cellStyle name="Note 67 2 2 6" xfId="38259"/>
    <cellStyle name="Note 67 2 2 7" xfId="38260"/>
    <cellStyle name="Note 67 2 2 8" xfId="38261"/>
    <cellStyle name="Note 67 2 3" xfId="11641"/>
    <cellStyle name="Note 67 2 3 2" xfId="11642"/>
    <cellStyle name="Note 67 2 3 3" xfId="11643"/>
    <cellStyle name="Note 67 2 3 4" xfId="11644"/>
    <cellStyle name="Note 67 2 3 5" xfId="11645"/>
    <cellStyle name="Note 67 2 3 6" xfId="38262"/>
    <cellStyle name="Note 67 2 3 7" xfId="38263"/>
    <cellStyle name="Note 67 2 3 8" xfId="38264"/>
    <cellStyle name="Note 67 2 4" xfId="11646"/>
    <cellStyle name="Note 67 2 4 2" xfId="11647"/>
    <cellStyle name="Note 67 2 4 3" xfId="11648"/>
    <cellStyle name="Note 67 2 4 4" xfId="11649"/>
    <cellStyle name="Note 67 2 4 5" xfId="11650"/>
    <cellStyle name="Note 67 2 4 6" xfId="38265"/>
    <cellStyle name="Note 67 2 4 7" xfId="38266"/>
    <cellStyle name="Note 67 2 4 8" xfId="38267"/>
    <cellStyle name="Note 67 2 5" xfId="11651"/>
    <cellStyle name="Note 67 2 5 2" xfId="11652"/>
    <cellStyle name="Note 67 2 5 3" xfId="11653"/>
    <cellStyle name="Note 67 2 5 4" xfId="11654"/>
    <cellStyle name="Note 67 2 5 5" xfId="11655"/>
    <cellStyle name="Note 67 2 5 6" xfId="38268"/>
    <cellStyle name="Note 67 2 5 7" xfId="38269"/>
    <cellStyle name="Note 67 2 5 8" xfId="38270"/>
    <cellStyle name="Note 67 2 6" xfId="11656"/>
    <cellStyle name="Note 67 2 6 2" xfId="11657"/>
    <cellStyle name="Note 67 2 6 3" xfId="11658"/>
    <cellStyle name="Note 67 2 6 4" xfId="11659"/>
    <cellStyle name="Note 67 2 6 5" xfId="11660"/>
    <cellStyle name="Note 67 2 6 6" xfId="38271"/>
    <cellStyle name="Note 67 2 6 7" xfId="38272"/>
    <cellStyle name="Note 67 2 6 8" xfId="38273"/>
    <cellStyle name="Note 67 2 7" xfId="11661"/>
    <cellStyle name="Note 67 2 8" xfId="11662"/>
    <cellStyle name="Note 67 2 9" xfId="11663"/>
    <cellStyle name="Note 67 3" xfId="11664"/>
    <cellStyle name="Note 67 3 2" xfId="11665"/>
    <cellStyle name="Note 67 3 3" xfId="11666"/>
    <cellStyle name="Note 67 3 4" xfId="11667"/>
    <cellStyle name="Note 67 3 5" xfId="11668"/>
    <cellStyle name="Note 67 3 6" xfId="38274"/>
    <cellStyle name="Note 67 3 7" xfId="38275"/>
    <cellStyle name="Note 67 3 8" xfId="38276"/>
    <cellStyle name="Note 67 4" xfId="11669"/>
    <cellStyle name="Note 67 4 2" xfId="11670"/>
    <cellStyle name="Note 67 4 3" xfId="11671"/>
    <cellStyle name="Note 67 4 4" xfId="11672"/>
    <cellStyle name="Note 67 4 5" xfId="11673"/>
    <cellStyle name="Note 67 4 6" xfId="38277"/>
    <cellStyle name="Note 67 4 7" xfId="38278"/>
    <cellStyle name="Note 67 4 8" xfId="38279"/>
    <cellStyle name="Note 67 5" xfId="11674"/>
    <cellStyle name="Note 67 5 2" xfId="11675"/>
    <cellStyle name="Note 67 5 3" xfId="11676"/>
    <cellStyle name="Note 67 5 4" xfId="11677"/>
    <cellStyle name="Note 67 5 5" xfId="11678"/>
    <cellStyle name="Note 67 5 6" xfId="38280"/>
    <cellStyle name="Note 67 5 7" xfId="38281"/>
    <cellStyle name="Note 67 5 8" xfId="38282"/>
    <cellStyle name="Note 67 6" xfId="11679"/>
    <cellStyle name="Note 67 6 2" xfId="11680"/>
    <cellStyle name="Note 67 6 3" xfId="11681"/>
    <cellStyle name="Note 67 6 4" xfId="11682"/>
    <cellStyle name="Note 67 6 5" xfId="11683"/>
    <cellStyle name="Note 67 6 6" xfId="38283"/>
    <cellStyle name="Note 67 6 7" xfId="38284"/>
    <cellStyle name="Note 67 6 8" xfId="38285"/>
    <cellStyle name="Note 67 7" xfId="11684"/>
    <cellStyle name="Note 67 7 2" xfId="11685"/>
    <cellStyle name="Note 67 7 3" xfId="11686"/>
    <cellStyle name="Note 67 7 4" xfId="11687"/>
    <cellStyle name="Note 67 7 5" xfId="11688"/>
    <cellStyle name="Note 67 7 6" xfId="38286"/>
    <cellStyle name="Note 67 7 7" xfId="38287"/>
    <cellStyle name="Note 67 7 8" xfId="38288"/>
    <cellStyle name="Note 67 8" xfId="11689"/>
    <cellStyle name="Note 67 9" xfId="11690"/>
    <cellStyle name="Note 68" xfId="11691"/>
    <cellStyle name="Note 68 10" xfId="11692"/>
    <cellStyle name="Note 68 11" xfId="11693"/>
    <cellStyle name="Note 68 12" xfId="38289"/>
    <cellStyle name="Note 68 13" xfId="38290"/>
    <cellStyle name="Note 68 14" xfId="38291"/>
    <cellStyle name="Note 68 2" xfId="11694"/>
    <cellStyle name="Note 68 2 10" xfId="11695"/>
    <cellStyle name="Note 68 2 11" xfId="38292"/>
    <cellStyle name="Note 68 2 12" xfId="38293"/>
    <cellStyle name="Note 68 2 13" xfId="38294"/>
    <cellStyle name="Note 68 2 2" xfId="11696"/>
    <cellStyle name="Note 68 2 2 2" xfId="11697"/>
    <cellStyle name="Note 68 2 2 3" xfId="11698"/>
    <cellStyle name="Note 68 2 2 4" xfId="11699"/>
    <cellStyle name="Note 68 2 2 5" xfId="11700"/>
    <cellStyle name="Note 68 2 2 6" xfId="38295"/>
    <cellStyle name="Note 68 2 2 7" xfId="38296"/>
    <cellStyle name="Note 68 2 2 8" xfId="38297"/>
    <cellStyle name="Note 68 2 3" xfId="11701"/>
    <cellStyle name="Note 68 2 3 2" xfId="11702"/>
    <cellStyle name="Note 68 2 3 3" xfId="11703"/>
    <cellStyle name="Note 68 2 3 4" xfId="11704"/>
    <cellStyle name="Note 68 2 3 5" xfId="11705"/>
    <cellStyle name="Note 68 2 3 6" xfId="38298"/>
    <cellStyle name="Note 68 2 3 7" xfId="38299"/>
    <cellStyle name="Note 68 2 3 8" xfId="38300"/>
    <cellStyle name="Note 68 2 4" xfId="11706"/>
    <cellStyle name="Note 68 2 4 2" xfId="11707"/>
    <cellStyle name="Note 68 2 4 3" xfId="11708"/>
    <cellStyle name="Note 68 2 4 4" xfId="11709"/>
    <cellStyle name="Note 68 2 4 5" xfId="11710"/>
    <cellStyle name="Note 68 2 4 6" xfId="38301"/>
    <cellStyle name="Note 68 2 4 7" xfId="38302"/>
    <cellStyle name="Note 68 2 4 8" xfId="38303"/>
    <cellStyle name="Note 68 2 5" xfId="11711"/>
    <cellStyle name="Note 68 2 5 2" xfId="11712"/>
    <cellStyle name="Note 68 2 5 3" xfId="11713"/>
    <cellStyle name="Note 68 2 5 4" xfId="11714"/>
    <cellStyle name="Note 68 2 5 5" xfId="11715"/>
    <cellStyle name="Note 68 2 5 6" xfId="38304"/>
    <cellStyle name="Note 68 2 5 7" xfId="38305"/>
    <cellStyle name="Note 68 2 5 8" xfId="38306"/>
    <cellStyle name="Note 68 2 6" xfId="11716"/>
    <cellStyle name="Note 68 2 6 2" xfId="11717"/>
    <cellStyle name="Note 68 2 6 3" xfId="11718"/>
    <cellStyle name="Note 68 2 6 4" xfId="11719"/>
    <cellStyle name="Note 68 2 6 5" xfId="11720"/>
    <cellStyle name="Note 68 2 6 6" xfId="38307"/>
    <cellStyle name="Note 68 2 6 7" xfId="38308"/>
    <cellStyle name="Note 68 2 6 8" xfId="38309"/>
    <cellStyle name="Note 68 2 7" xfId="11721"/>
    <cellStyle name="Note 68 2 8" xfId="11722"/>
    <cellStyle name="Note 68 2 9" xfId="11723"/>
    <cellStyle name="Note 68 3" xfId="11724"/>
    <cellStyle name="Note 68 3 2" xfId="11725"/>
    <cellStyle name="Note 68 3 3" xfId="11726"/>
    <cellStyle name="Note 68 3 4" xfId="11727"/>
    <cellStyle name="Note 68 3 5" xfId="11728"/>
    <cellStyle name="Note 68 3 6" xfId="38310"/>
    <cellStyle name="Note 68 3 7" xfId="38311"/>
    <cellStyle name="Note 68 3 8" xfId="38312"/>
    <cellStyle name="Note 68 4" xfId="11729"/>
    <cellStyle name="Note 68 4 2" xfId="11730"/>
    <cellStyle name="Note 68 4 3" xfId="11731"/>
    <cellStyle name="Note 68 4 4" xfId="11732"/>
    <cellStyle name="Note 68 4 5" xfId="11733"/>
    <cellStyle name="Note 68 4 6" xfId="38313"/>
    <cellStyle name="Note 68 4 7" xfId="38314"/>
    <cellStyle name="Note 68 4 8" xfId="38315"/>
    <cellStyle name="Note 68 5" xfId="11734"/>
    <cellStyle name="Note 68 5 2" xfId="11735"/>
    <cellStyle name="Note 68 5 3" xfId="11736"/>
    <cellStyle name="Note 68 5 4" xfId="11737"/>
    <cellStyle name="Note 68 5 5" xfId="11738"/>
    <cellStyle name="Note 68 5 6" xfId="38316"/>
    <cellStyle name="Note 68 5 7" xfId="38317"/>
    <cellStyle name="Note 68 5 8" xfId="38318"/>
    <cellStyle name="Note 68 6" xfId="11739"/>
    <cellStyle name="Note 68 6 2" xfId="11740"/>
    <cellStyle name="Note 68 6 3" xfId="11741"/>
    <cellStyle name="Note 68 6 4" xfId="11742"/>
    <cellStyle name="Note 68 6 5" xfId="11743"/>
    <cellStyle name="Note 68 6 6" xfId="38319"/>
    <cellStyle name="Note 68 6 7" xfId="38320"/>
    <cellStyle name="Note 68 6 8" xfId="38321"/>
    <cellStyle name="Note 68 7" xfId="11744"/>
    <cellStyle name="Note 68 7 2" xfId="11745"/>
    <cellStyle name="Note 68 7 3" xfId="11746"/>
    <cellStyle name="Note 68 7 4" xfId="11747"/>
    <cellStyle name="Note 68 7 5" xfId="11748"/>
    <cellStyle name="Note 68 7 6" xfId="38322"/>
    <cellStyle name="Note 68 7 7" xfId="38323"/>
    <cellStyle name="Note 68 7 8" xfId="38324"/>
    <cellStyle name="Note 68 8" xfId="11749"/>
    <cellStyle name="Note 68 9" xfId="11750"/>
    <cellStyle name="Note 69" xfId="11751"/>
    <cellStyle name="Note 69 10" xfId="11752"/>
    <cellStyle name="Note 69 11" xfId="11753"/>
    <cellStyle name="Note 69 12" xfId="38325"/>
    <cellStyle name="Note 69 13" xfId="38326"/>
    <cellStyle name="Note 69 14" xfId="38327"/>
    <cellStyle name="Note 69 2" xfId="11754"/>
    <cellStyle name="Note 69 2 10" xfId="11755"/>
    <cellStyle name="Note 69 2 11" xfId="38328"/>
    <cellStyle name="Note 69 2 12" xfId="38329"/>
    <cellStyle name="Note 69 2 13" xfId="38330"/>
    <cellStyle name="Note 69 2 2" xfId="11756"/>
    <cellStyle name="Note 69 2 2 2" xfId="11757"/>
    <cellStyle name="Note 69 2 2 3" xfId="11758"/>
    <cellStyle name="Note 69 2 2 4" xfId="11759"/>
    <cellStyle name="Note 69 2 2 5" xfId="11760"/>
    <cellStyle name="Note 69 2 2 6" xfId="38331"/>
    <cellStyle name="Note 69 2 2 7" xfId="38332"/>
    <cellStyle name="Note 69 2 2 8" xfId="38333"/>
    <cellStyle name="Note 69 2 3" xfId="11761"/>
    <cellStyle name="Note 69 2 3 2" xfId="11762"/>
    <cellStyle name="Note 69 2 3 3" xfId="11763"/>
    <cellStyle name="Note 69 2 3 4" xfId="11764"/>
    <cellStyle name="Note 69 2 3 5" xfId="11765"/>
    <cellStyle name="Note 69 2 3 6" xfId="38334"/>
    <cellStyle name="Note 69 2 3 7" xfId="38335"/>
    <cellStyle name="Note 69 2 3 8" xfId="38336"/>
    <cellStyle name="Note 69 2 4" xfId="11766"/>
    <cellStyle name="Note 69 2 4 2" xfId="11767"/>
    <cellStyle name="Note 69 2 4 3" xfId="11768"/>
    <cellStyle name="Note 69 2 4 4" xfId="11769"/>
    <cellStyle name="Note 69 2 4 5" xfId="11770"/>
    <cellStyle name="Note 69 2 4 6" xfId="38337"/>
    <cellStyle name="Note 69 2 4 7" xfId="38338"/>
    <cellStyle name="Note 69 2 4 8" xfId="38339"/>
    <cellStyle name="Note 69 2 5" xfId="11771"/>
    <cellStyle name="Note 69 2 5 2" xfId="11772"/>
    <cellStyle name="Note 69 2 5 3" xfId="11773"/>
    <cellStyle name="Note 69 2 5 4" xfId="11774"/>
    <cellStyle name="Note 69 2 5 5" xfId="11775"/>
    <cellStyle name="Note 69 2 5 6" xfId="38340"/>
    <cellStyle name="Note 69 2 5 7" xfId="38341"/>
    <cellStyle name="Note 69 2 5 8" xfId="38342"/>
    <cellStyle name="Note 69 2 6" xfId="11776"/>
    <cellStyle name="Note 69 2 6 2" xfId="11777"/>
    <cellStyle name="Note 69 2 6 3" xfId="11778"/>
    <cellStyle name="Note 69 2 6 4" xfId="11779"/>
    <cellStyle name="Note 69 2 6 5" xfId="11780"/>
    <cellStyle name="Note 69 2 6 6" xfId="38343"/>
    <cellStyle name="Note 69 2 6 7" xfId="38344"/>
    <cellStyle name="Note 69 2 6 8" xfId="38345"/>
    <cellStyle name="Note 69 2 7" xfId="11781"/>
    <cellStyle name="Note 69 2 8" xfId="11782"/>
    <cellStyle name="Note 69 2 9" xfId="11783"/>
    <cellStyle name="Note 69 3" xfId="11784"/>
    <cellStyle name="Note 69 3 2" xfId="11785"/>
    <cellStyle name="Note 69 3 3" xfId="11786"/>
    <cellStyle name="Note 69 3 4" xfId="11787"/>
    <cellStyle name="Note 69 3 5" xfId="11788"/>
    <cellStyle name="Note 69 3 6" xfId="38346"/>
    <cellStyle name="Note 69 3 7" xfId="38347"/>
    <cellStyle name="Note 69 3 8" xfId="38348"/>
    <cellStyle name="Note 69 4" xfId="11789"/>
    <cellStyle name="Note 69 4 2" xfId="11790"/>
    <cellStyle name="Note 69 4 3" xfId="11791"/>
    <cellStyle name="Note 69 4 4" xfId="11792"/>
    <cellStyle name="Note 69 4 5" xfId="11793"/>
    <cellStyle name="Note 69 4 6" xfId="38349"/>
    <cellStyle name="Note 69 4 7" xfId="38350"/>
    <cellStyle name="Note 69 4 8" xfId="38351"/>
    <cellStyle name="Note 69 5" xfId="11794"/>
    <cellStyle name="Note 69 5 2" xfId="11795"/>
    <cellStyle name="Note 69 5 3" xfId="11796"/>
    <cellStyle name="Note 69 5 4" xfId="11797"/>
    <cellStyle name="Note 69 5 5" xfId="11798"/>
    <cellStyle name="Note 69 5 6" xfId="38352"/>
    <cellStyle name="Note 69 5 7" xfId="38353"/>
    <cellStyle name="Note 69 5 8" xfId="38354"/>
    <cellStyle name="Note 69 6" xfId="11799"/>
    <cellStyle name="Note 69 6 2" xfId="11800"/>
    <cellStyle name="Note 69 6 3" xfId="11801"/>
    <cellStyle name="Note 69 6 4" xfId="11802"/>
    <cellStyle name="Note 69 6 5" xfId="11803"/>
    <cellStyle name="Note 69 6 6" xfId="38355"/>
    <cellStyle name="Note 69 6 7" xfId="38356"/>
    <cellStyle name="Note 69 6 8" xfId="38357"/>
    <cellStyle name="Note 69 7" xfId="11804"/>
    <cellStyle name="Note 69 7 2" xfId="11805"/>
    <cellStyle name="Note 69 7 3" xfId="11806"/>
    <cellStyle name="Note 69 7 4" xfId="11807"/>
    <cellStyle name="Note 69 7 5" xfId="11808"/>
    <cellStyle name="Note 69 7 6" xfId="38358"/>
    <cellStyle name="Note 69 7 7" xfId="38359"/>
    <cellStyle name="Note 69 7 8" xfId="38360"/>
    <cellStyle name="Note 69 8" xfId="11809"/>
    <cellStyle name="Note 69 9" xfId="11810"/>
    <cellStyle name="Note 7" xfId="11811"/>
    <cellStyle name="Note 7 10" xfId="11812"/>
    <cellStyle name="Note 7 10 10" xfId="11813"/>
    <cellStyle name="Note 7 10 11" xfId="38361"/>
    <cellStyle name="Note 7 10 12" xfId="38362"/>
    <cellStyle name="Note 7 10 13" xfId="38363"/>
    <cellStyle name="Note 7 10 2" xfId="11814"/>
    <cellStyle name="Note 7 10 2 2" xfId="11815"/>
    <cellStyle name="Note 7 10 2 3" xfId="11816"/>
    <cellStyle name="Note 7 10 2 4" xfId="11817"/>
    <cellStyle name="Note 7 10 2 5" xfId="11818"/>
    <cellStyle name="Note 7 10 2 6" xfId="38364"/>
    <cellStyle name="Note 7 10 2 7" xfId="38365"/>
    <cellStyle name="Note 7 10 2 8" xfId="38366"/>
    <cellStyle name="Note 7 10 3" xfId="11819"/>
    <cellStyle name="Note 7 10 3 2" xfId="11820"/>
    <cellStyle name="Note 7 10 3 3" xfId="11821"/>
    <cellStyle name="Note 7 10 3 4" xfId="11822"/>
    <cellStyle name="Note 7 10 3 5" xfId="11823"/>
    <cellStyle name="Note 7 10 3 6" xfId="38367"/>
    <cellStyle name="Note 7 10 3 7" xfId="38368"/>
    <cellStyle name="Note 7 10 3 8" xfId="38369"/>
    <cellStyle name="Note 7 10 4" xfId="11824"/>
    <cellStyle name="Note 7 10 4 2" xfId="11825"/>
    <cellStyle name="Note 7 10 4 3" xfId="11826"/>
    <cellStyle name="Note 7 10 4 4" xfId="11827"/>
    <cellStyle name="Note 7 10 4 5" xfId="11828"/>
    <cellStyle name="Note 7 10 4 6" xfId="38370"/>
    <cellStyle name="Note 7 10 4 7" xfId="38371"/>
    <cellStyle name="Note 7 10 4 8" xfId="38372"/>
    <cellStyle name="Note 7 10 5" xfId="11829"/>
    <cellStyle name="Note 7 10 5 2" xfId="11830"/>
    <cellStyle name="Note 7 10 5 3" xfId="11831"/>
    <cellStyle name="Note 7 10 5 4" xfId="11832"/>
    <cellStyle name="Note 7 10 5 5" xfId="11833"/>
    <cellStyle name="Note 7 10 5 6" xfId="38373"/>
    <cellStyle name="Note 7 10 5 7" xfId="38374"/>
    <cellStyle name="Note 7 10 5 8" xfId="38375"/>
    <cellStyle name="Note 7 10 6" xfId="11834"/>
    <cellStyle name="Note 7 10 6 2" xfId="11835"/>
    <cellStyle name="Note 7 10 6 3" xfId="11836"/>
    <cellStyle name="Note 7 10 6 4" xfId="11837"/>
    <cellStyle name="Note 7 10 6 5" xfId="11838"/>
    <cellStyle name="Note 7 10 6 6" xfId="38376"/>
    <cellStyle name="Note 7 10 6 7" xfId="38377"/>
    <cellStyle name="Note 7 10 6 8" xfId="38378"/>
    <cellStyle name="Note 7 10 7" xfId="11839"/>
    <cellStyle name="Note 7 10 8" xfId="11840"/>
    <cellStyle name="Note 7 10 9" xfId="11841"/>
    <cellStyle name="Note 7 11" xfId="11842"/>
    <cellStyle name="Note 7 11 2" xfId="11843"/>
    <cellStyle name="Note 7 11 3" xfId="11844"/>
    <cellStyle name="Note 7 11 4" xfId="11845"/>
    <cellStyle name="Note 7 11 5" xfId="11846"/>
    <cellStyle name="Note 7 11 6" xfId="38379"/>
    <cellStyle name="Note 7 11 7" xfId="38380"/>
    <cellStyle name="Note 7 11 8" xfId="38381"/>
    <cellStyle name="Note 7 12" xfId="11847"/>
    <cellStyle name="Note 7 12 2" xfId="11848"/>
    <cellStyle name="Note 7 12 3" xfId="11849"/>
    <cellStyle name="Note 7 12 4" xfId="11850"/>
    <cellStyle name="Note 7 12 5" xfId="11851"/>
    <cellStyle name="Note 7 12 6" xfId="38382"/>
    <cellStyle name="Note 7 12 7" xfId="38383"/>
    <cellStyle name="Note 7 12 8" xfId="38384"/>
    <cellStyle name="Note 7 13" xfId="11852"/>
    <cellStyle name="Note 7 13 2" xfId="11853"/>
    <cellStyle name="Note 7 13 3" xfId="11854"/>
    <cellStyle name="Note 7 13 4" xfId="11855"/>
    <cellStyle name="Note 7 13 5" xfId="11856"/>
    <cellStyle name="Note 7 13 6" xfId="38385"/>
    <cellStyle name="Note 7 13 7" xfId="38386"/>
    <cellStyle name="Note 7 13 8" xfId="38387"/>
    <cellStyle name="Note 7 14" xfId="11857"/>
    <cellStyle name="Note 7 14 2" xfId="11858"/>
    <cellStyle name="Note 7 14 3" xfId="11859"/>
    <cellStyle name="Note 7 14 4" xfId="11860"/>
    <cellStyle name="Note 7 14 5" xfId="11861"/>
    <cellStyle name="Note 7 14 6" xfId="38388"/>
    <cellStyle name="Note 7 14 7" xfId="38389"/>
    <cellStyle name="Note 7 14 8" xfId="38390"/>
    <cellStyle name="Note 7 15" xfId="11862"/>
    <cellStyle name="Note 7 15 2" xfId="11863"/>
    <cellStyle name="Note 7 15 3" xfId="11864"/>
    <cellStyle name="Note 7 15 4" xfId="11865"/>
    <cellStyle name="Note 7 15 5" xfId="11866"/>
    <cellStyle name="Note 7 15 6" xfId="38391"/>
    <cellStyle name="Note 7 15 7" xfId="38392"/>
    <cellStyle name="Note 7 15 8" xfId="38393"/>
    <cellStyle name="Note 7 16" xfId="11867"/>
    <cellStyle name="Note 7 17" xfId="11868"/>
    <cellStyle name="Note 7 18" xfId="11869"/>
    <cellStyle name="Note 7 19" xfId="11870"/>
    <cellStyle name="Note 7 2" xfId="11871"/>
    <cellStyle name="Note 7 2 10" xfId="11872"/>
    <cellStyle name="Note 7 2 11" xfId="38394"/>
    <cellStyle name="Note 7 2 12" xfId="38395"/>
    <cellStyle name="Note 7 2 13" xfId="38396"/>
    <cellStyle name="Note 7 2 2" xfId="11873"/>
    <cellStyle name="Note 7 2 2 2" xfId="11874"/>
    <cellStyle name="Note 7 2 2 3" xfId="11875"/>
    <cellStyle name="Note 7 2 2 4" xfId="11876"/>
    <cellStyle name="Note 7 2 2 5" xfId="11877"/>
    <cellStyle name="Note 7 2 2 6" xfId="38397"/>
    <cellStyle name="Note 7 2 2 7" xfId="38398"/>
    <cellStyle name="Note 7 2 2 8" xfId="38399"/>
    <cellStyle name="Note 7 2 3" xfId="11878"/>
    <cellStyle name="Note 7 2 3 2" xfId="11879"/>
    <cellStyle name="Note 7 2 3 3" xfId="11880"/>
    <cellStyle name="Note 7 2 3 4" xfId="11881"/>
    <cellStyle name="Note 7 2 3 5" xfId="11882"/>
    <cellStyle name="Note 7 2 3 6" xfId="38400"/>
    <cellStyle name="Note 7 2 3 7" xfId="38401"/>
    <cellStyle name="Note 7 2 3 8" xfId="38402"/>
    <cellStyle name="Note 7 2 4" xfId="11883"/>
    <cellStyle name="Note 7 2 4 2" xfId="11884"/>
    <cellStyle name="Note 7 2 4 3" xfId="11885"/>
    <cellStyle name="Note 7 2 4 4" xfId="11886"/>
    <cellStyle name="Note 7 2 4 5" xfId="11887"/>
    <cellStyle name="Note 7 2 4 6" xfId="38403"/>
    <cellStyle name="Note 7 2 4 7" xfId="38404"/>
    <cellStyle name="Note 7 2 4 8" xfId="38405"/>
    <cellStyle name="Note 7 2 5" xfId="11888"/>
    <cellStyle name="Note 7 2 5 2" xfId="11889"/>
    <cellStyle name="Note 7 2 5 3" xfId="11890"/>
    <cellStyle name="Note 7 2 5 4" xfId="11891"/>
    <cellStyle name="Note 7 2 5 5" xfId="11892"/>
    <cellStyle name="Note 7 2 5 6" xfId="38406"/>
    <cellStyle name="Note 7 2 5 7" xfId="38407"/>
    <cellStyle name="Note 7 2 5 8" xfId="38408"/>
    <cellStyle name="Note 7 2 6" xfId="11893"/>
    <cellStyle name="Note 7 2 6 2" xfId="11894"/>
    <cellStyle name="Note 7 2 6 3" xfId="11895"/>
    <cellStyle name="Note 7 2 6 4" xfId="11896"/>
    <cellStyle name="Note 7 2 6 5" xfId="11897"/>
    <cellStyle name="Note 7 2 6 6" xfId="38409"/>
    <cellStyle name="Note 7 2 6 7" xfId="38410"/>
    <cellStyle name="Note 7 2 6 8" xfId="38411"/>
    <cellStyle name="Note 7 2 7" xfId="11898"/>
    <cellStyle name="Note 7 2 8" xfId="11899"/>
    <cellStyle name="Note 7 2 9" xfId="11900"/>
    <cellStyle name="Note 7 20" xfId="38412"/>
    <cellStyle name="Note 7 21" xfId="38413"/>
    <cellStyle name="Note 7 22" xfId="38414"/>
    <cellStyle name="Note 7 23" xfId="38415"/>
    <cellStyle name="Note 7 24" xfId="38416"/>
    <cellStyle name="Note 7 3" xfId="11901"/>
    <cellStyle name="Note 7 3 10" xfId="11902"/>
    <cellStyle name="Note 7 3 11" xfId="38417"/>
    <cellStyle name="Note 7 3 12" xfId="38418"/>
    <cellStyle name="Note 7 3 13" xfId="38419"/>
    <cellStyle name="Note 7 3 2" xfId="11903"/>
    <cellStyle name="Note 7 3 2 2" xfId="11904"/>
    <cellStyle name="Note 7 3 2 3" xfId="11905"/>
    <cellStyle name="Note 7 3 2 4" xfId="11906"/>
    <cellStyle name="Note 7 3 2 5" xfId="11907"/>
    <cellStyle name="Note 7 3 2 6" xfId="38420"/>
    <cellStyle name="Note 7 3 2 7" xfId="38421"/>
    <cellStyle name="Note 7 3 2 8" xfId="38422"/>
    <cellStyle name="Note 7 3 3" xfId="11908"/>
    <cellStyle name="Note 7 3 3 2" xfId="11909"/>
    <cellStyle name="Note 7 3 3 3" xfId="11910"/>
    <cellStyle name="Note 7 3 3 4" xfId="11911"/>
    <cellStyle name="Note 7 3 3 5" xfId="11912"/>
    <cellStyle name="Note 7 3 3 6" xfId="38423"/>
    <cellStyle name="Note 7 3 3 7" xfId="38424"/>
    <cellStyle name="Note 7 3 3 8" xfId="38425"/>
    <cellStyle name="Note 7 3 4" xfId="11913"/>
    <cellStyle name="Note 7 3 4 2" xfId="11914"/>
    <cellStyle name="Note 7 3 4 3" xfId="11915"/>
    <cellStyle name="Note 7 3 4 4" xfId="11916"/>
    <cellStyle name="Note 7 3 4 5" xfId="11917"/>
    <cellStyle name="Note 7 3 4 6" xfId="38426"/>
    <cellStyle name="Note 7 3 4 7" xfId="38427"/>
    <cellStyle name="Note 7 3 4 8" xfId="38428"/>
    <cellStyle name="Note 7 3 5" xfId="11918"/>
    <cellStyle name="Note 7 3 5 2" xfId="11919"/>
    <cellStyle name="Note 7 3 5 3" xfId="11920"/>
    <cellStyle name="Note 7 3 5 4" xfId="11921"/>
    <cellStyle name="Note 7 3 5 5" xfId="11922"/>
    <cellStyle name="Note 7 3 5 6" xfId="38429"/>
    <cellStyle name="Note 7 3 5 7" xfId="38430"/>
    <cellStyle name="Note 7 3 5 8" xfId="38431"/>
    <cellStyle name="Note 7 3 6" xfId="11923"/>
    <cellStyle name="Note 7 3 6 2" xfId="11924"/>
    <cellStyle name="Note 7 3 6 3" xfId="11925"/>
    <cellStyle name="Note 7 3 6 4" xfId="11926"/>
    <cellStyle name="Note 7 3 6 5" xfId="11927"/>
    <cellStyle name="Note 7 3 6 6" xfId="38432"/>
    <cellStyle name="Note 7 3 6 7" xfId="38433"/>
    <cellStyle name="Note 7 3 6 8" xfId="38434"/>
    <cellStyle name="Note 7 3 7" xfId="11928"/>
    <cellStyle name="Note 7 3 8" xfId="11929"/>
    <cellStyle name="Note 7 3 9" xfId="11930"/>
    <cellStyle name="Note 7 4" xfId="11931"/>
    <cellStyle name="Note 7 4 10" xfId="11932"/>
    <cellStyle name="Note 7 4 11" xfId="38435"/>
    <cellStyle name="Note 7 4 12" xfId="38436"/>
    <cellStyle name="Note 7 4 13" xfId="38437"/>
    <cellStyle name="Note 7 4 2" xfId="11933"/>
    <cellStyle name="Note 7 4 2 2" xfId="11934"/>
    <cellStyle name="Note 7 4 2 3" xfId="11935"/>
    <cellStyle name="Note 7 4 2 4" xfId="11936"/>
    <cellStyle name="Note 7 4 2 5" xfId="11937"/>
    <cellStyle name="Note 7 4 2 6" xfId="38438"/>
    <cellStyle name="Note 7 4 2 7" xfId="38439"/>
    <cellStyle name="Note 7 4 2 8" xfId="38440"/>
    <cellStyle name="Note 7 4 3" xfId="11938"/>
    <cellStyle name="Note 7 4 3 2" xfId="11939"/>
    <cellStyle name="Note 7 4 3 3" xfId="11940"/>
    <cellStyle name="Note 7 4 3 4" xfId="11941"/>
    <cellStyle name="Note 7 4 3 5" xfId="11942"/>
    <cellStyle name="Note 7 4 3 6" xfId="38441"/>
    <cellStyle name="Note 7 4 3 7" xfId="38442"/>
    <cellStyle name="Note 7 4 3 8" xfId="38443"/>
    <cellStyle name="Note 7 4 4" xfId="11943"/>
    <cellStyle name="Note 7 4 4 2" xfId="11944"/>
    <cellStyle name="Note 7 4 4 3" xfId="11945"/>
    <cellStyle name="Note 7 4 4 4" xfId="11946"/>
    <cellStyle name="Note 7 4 4 5" xfId="11947"/>
    <cellStyle name="Note 7 4 4 6" xfId="38444"/>
    <cellStyle name="Note 7 4 4 7" xfId="38445"/>
    <cellStyle name="Note 7 4 4 8" xfId="38446"/>
    <cellStyle name="Note 7 4 5" xfId="11948"/>
    <cellStyle name="Note 7 4 5 2" xfId="11949"/>
    <cellStyle name="Note 7 4 5 3" xfId="11950"/>
    <cellStyle name="Note 7 4 5 4" xfId="11951"/>
    <cellStyle name="Note 7 4 5 5" xfId="11952"/>
    <cellStyle name="Note 7 4 5 6" xfId="38447"/>
    <cellStyle name="Note 7 4 5 7" xfId="38448"/>
    <cellStyle name="Note 7 4 5 8" xfId="38449"/>
    <cellStyle name="Note 7 4 6" xfId="11953"/>
    <cellStyle name="Note 7 4 6 2" xfId="11954"/>
    <cellStyle name="Note 7 4 6 3" xfId="11955"/>
    <cellStyle name="Note 7 4 6 4" xfId="11956"/>
    <cellStyle name="Note 7 4 6 5" xfId="11957"/>
    <cellStyle name="Note 7 4 6 6" xfId="38450"/>
    <cellStyle name="Note 7 4 6 7" xfId="38451"/>
    <cellStyle name="Note 7 4 6 8" xfId="38452"/>
    <cellStyle name="Note 7 4 7" xfId="11958"/>
    <cellStyle name="Note 7 4 8" xfId="11959"/>
    <cellStyle name="Note 7 4 9" xfId="11960"/>
    <cellStyle name="Note 7 5" xfId="11961"/>
    <cellStyle name="Note 7 5 10" xfId="11962"/>
    <cellStyle name="Note 7 5 11" xfId="38453"/>
    <cellStyle name="Note 7 5 12" xfId="38454"/>
    <cellStyle name="Note 7 5 13" xfId="38455"/>
    <cellStyle name="Note 7 5 2" xfId="11963"/>
    <cellStyle name="Note 7 5 2 2" xfId="11964"/>
    <cellStyle name="Note 7 5 2 3" xfId="11965"/>
    <cellStyle name="Note 7 5 2 4" xfId="11966"/>
    <cellStyle name="Note 7 5 2 5" xfId="11967"/>
    <cellStyle name="Note 7 5 2 6" xfId="38456"/>
    <cellStyle name="Note 7 5 2 7" xfId="38457"/>
    <cellStyle name="Note 7 5 2 8" xfId="38458"/>
    <cellStyle name="Note 7 5 3" xfId="11968"/>
    <cellStyle name="Note 7 5 3 2" xfId="11969"/>
    <cellStyle name="Note 7 5 3 3" xfId="11970"/>
    <cellStyle name="Note 7 5 3 4" xfId="11971"/>
    <cellStyle name="Note 7 5 3 5" xfId="11972"/>
    <cellStyle name="Note 7 5 3 6" xfId="38459"/>
    <cellStyle name="Note 7 5 3 7" xfId="38460"/>
    <cellStyle name="Note 7 5 3 8" xfId="38461"/>
    <cellStyle name="Note 7 5 4" xfId="11973"/>
    <cellStyle name="Note 7 5 4 2" xfId="11974"/>
    <cellStyle name="Note 7 5 4 3" xfId="11975"/>
    <cellStyle name="Note 7 5 4 4" xfId="11976"/>
    <cellStyle name="Note 7 5 4 5" xfId="11977"/>
    <cellStyle name="Note 7 5 4 6" xfId="38462"/>
    <cellStyle name="Note 7 5 4 7" xfId="38463"/>
    <cellStyle name="Note 7 5 4 8" xfId="38464"/>
    <cellStyle name="Note 7 5 5" xfId="11978"/>
    <cellStyle name="Note 7 5 5 2" xfId="11979"/>
    <cellStyle name="Note 7 5 5 3" xfId="11980"/>
    <cellStyle name="Note 7 5 5 4" xfId="11981"/>
    <cellStyle name="Note 7 5 5 5" xfId="11982"/>
    <cellStyle name="Note 7 5 5 6" xfId="38465"/>
    <cellStyle name="Note 7 5 5 7" xfId="38466"/>
    <cellStyle name="Note 7 5 5 8" xfId="38467"/>
    <cellStyle name="Note 7 5 6" xfId="11983"/>
    <cellStyle name="Note 7 5 6 2" xfId="11984"/>
    <cellStyle name="Note 7 5 6 3" xfId="11985"/>
    <cellStyle name="Note 7 5 6 4" xfId="11986"/>
    <cellStyle name="Note 7 5 6 5" xfId="11987"/>
    <cellStyle name="Note 7 5 6 6" xfId="38468"/>
    <cellStyle name="Note 7 5 6 7" xfId="38469"/>
    <cellStyle name="Note 7 5 6 8" xfId="38470"/>
    <cellStyle name="Note 7 5 7" xfId="11988"/>
    <cellStyle name="Note 7 5 8" xfId="11989"/>
    <cellStyle name="Note 7 5 9" xfId="11990"/>
    <cellStyle name="Note 7 6" xfId="11991"/>
    <cellStyle name="Note 7 6 10" xfId="11992"/>
    <cellStyle name="Note 7 6 11" xfId="38471"/>
    <cellStyle name="Note 7 6 12" xfId="38472"/>
    <cellStyle name="Note 7 6 13" xfId="38473"/>
    <cellStyle name="Note 7 6 2" xfId="11993"/>
    <cellStyle name="Note 7 6 2 2" xfId="11994"/>
    <cellStyle name="Note 7 6 2 3" xfId="11995"/>
    <cellStyle name="Note 7 6 2 4" xfId="11996"/>
    <cellStyle name="Note 7 6 2 5" xfId="11997"/>
    <cellStyle name="Note 7 6 2 6" xfId="38474"/>
    <cellStyle name="Note 7 6 2 7" xfId="38475"/>
    <cellStyle name="Note 7 6 2 8" xfId="38476"/>
    <cellStyle name="Note 7 6 3" xfId="11998"/>
    <cellStyle name="Note 7 6 3 2" xfId="11999"/>
    <cellStyle name="Note 7 6 3 3" xfId="12000"/>
    <cellStyle name="Note 7 6 3 4" xfId="12001"/>
    <cellStyle name="Note 7 6 3 5" xfId="12002"/>
    <cellStyle name="Note 7 6 3 6" xfId="38477"/>
    <cellStyle name="Note 7 6 3 7" xfId="38478"/>
    <cellStyle name="Note 7 6 3 8" xfId="38479"/>
    <cellStyle name="Note 7 6 4" xfId="12003"/>
    <cellStyle name="Note 7 6 4 2" xfId="12004"/>
    <cellStyle name="Note 7 6 4 3" xfId="12005"/>
    <cellStyle name="Note 7 6 4 4" xfId="12006"/>
    <cellStyle name="Note 7 6 4 5" xfId="12007"/>
    <cellStyle name="Note 7 6 4 6" xfId="38480"/>
    <cellStyle name="Note 7 6 4 7" xfId="38481"/>
    <cellStyle name="Note 7 6 4 8" xfId="38482"/>
    <cellStyle name="Note 7 6 5" xfId="12008"/>
    <cellStyle name="Note 7 6 5 2" xfId="12009"/>
    <cellStyle name="Note 7 6 5 3" xfId="12010"/>
    <cellStyle name="Note 7 6 5 4" xfId="12011"/>
    <cellStyle name="Note 7 6 5 5" xfId="12012"/>
    <cellStyle name="Note 7 6 5 6" xfId="38483"/>
    <cellStyle name="Note 7 6 5 7" xfId="38484"/>
    <cellStyle name="Note 7 6 5 8" xfId="38485"/>
    <cellStyle name="Note 7 6 6" xfId="12013"/>
    <cellStyle name="Note 7 6 6 2" xfId="12014"/>
    <cellStyle name="Note 7 6 6 3" xfId="12015"/>
    <cellStyle name="Note 7 6 6 4" xfId="12016"/>
    <cellStyle name="Note 7 6 6 5" xfId="12017"/>
    <cellStyle name="Note 7 6 6 6" xfId="38486"/>
    <cellStyle name="Note 7 6 6 7" xfId="38487"/>
    <cellStyle name="Note 7 6 6 8" xfId="38488"/>
    <cellStyle name="Note 7 6 7" xfId="12018"/>
    <cellStyle name="Note 7 6 8" xfId="12019"/>
    <cellStyle name="Note 7 6 9" xfId="12020"/>
    <cellStyle name="Note 7 7" xfId="12021"/>
    <cellStyle name="Note 7 7 10" xfId="12022"/>
    <cellStyle name="Note 7 7 11" xfId="38489"/>
    <cellStyle name="Note 7 7 12" xfId="38490"/>
    <cellStyle name="Note 7 7 13" xfId="38491"/>
    <cellStyle name="Note 7 7 2" xfId="12023"/>
    <cellStyle name="Note 7 7 2 2" xfId="12024"/>
    <cellStyle name="Note 7 7 2 3" xfId="12025"/>
    <cellStyle name="Note 7 7 2 4" xfId="12026"/>
    <cellStyle name="Note 7 7 2 5" xfId="12027"/>
    <cellStyle name="Note 7 7 2 6" xfId="38492"/>
    <cellStyle name="Note 7 7 2 7" xfId="38493"/>
    <cellStyle name="Note 7 7 2 8" xfId="38494"/>
    <cellStyle name="Note 7 7 3" xfId="12028"/>
    <cellStyle name="Note 7 7 3 2" xfId="12029"/>
    <cellStyle name="Note 7 7 3 3" xfId="12030"/>
    <cellStyle name="Note 7 7 3 4" xfId="12031"/>
    <cellStyle name="Note 7 7 3 5" xfId="12032"/>
    <cellStyle name="Note 7 7 3 6" xfId="38495"/>
    <cellStyle name="Note 7 7 3 7" xfId="38496"/>
    <cellStyle name="Note 7 7 3 8" xfId="38497"/>
    <cellStyle name="Note 7 7 4" xfId="12033"/>
    <cellStyle name="Note 7 7 4 2" xfId="12034"/>
    <cellStyle name="Note 7 7 4 3" xfId="12035"/>
    <cellStyle name="Note 7 7 4 4" xfId="12036"/>
    <cellStyle name="Note 7 7 4 5" xfId="12037"/>
    <cellStyle name="Note 7 7 4 6" xfId="38498"/>
    <cellStyle name="Note 7 7 4 7" xfId="38499"/>
    <cellStyle name="Note 7 7 4 8" xfId="38500"/>
    <cellStyle name="Note 7 7 5" xfId="12038"/>
    <cellStyle name="Note 7 7 5 2" xfId="12039"/>
    <cellStyle name="Note 7 7 5 3" xfId="12040"/>
    <cellStyle name="Note 7 7 5 4" xfId="12041"/>
    <cellStyle name="Note 7 7 5 5" xfId="12042"/>
    <cellStyle name="Note 7 7 5 6" xfId="38501"/>
    <cellStyle name="Note 7 7 5 7" xfId="38502"/>
    <cellStyle name="Note 7 7 5 8" xfId="38503"/>
    <cellStyle name="Note 7 7 6" xfId="12043"/>
    <cellStyle name="Note 7 7 6 2" xfId="12044"/>
    <cellStyle name="Note 7 7 6 3" xfId="12045"/>
    <cellStyle name="Note 7 7 6 4" xfId="12046"/>
    <cellStyle name="Note 7 7 6 5" xfId="12047"/>
    <cellStyle name="Note 7 7 6 6" xfId="38504"/>
    <cellStyle name="Note 7 7 6 7" xfId="38505"/>
    <cellStyle name="Note 7 7 6 8" xfId="38506"/>
    <cellStyle name="Note 7 7 7" xfId="12048"/>
    <cellStyle name="Note 7 7 8" xfId="12049"/>
    <cellStyle name="Note 7 7 9" xfId="12050"/>
    <cellStyle name="Note 7 8" xfId="12051"/>
    <cellStyle name="Note 7 8 10" xfId="12052"/>
    <cellStyle name="Note 7 8 11" xfId="38507"/>
    <cellStyle name="Note 7 8 12" xfId="38508"/>
    <cellStyle name="Note 7 8 13" xfId="38509"/>
    <cellStyle name="Note 7 8 2" xfId="12053"/>
    <cellStyle name="Note 7 8 2 2" xfId="12054"/>
    <cellStyle name="Note 7 8 2 3" xfId="12055"/>
    <cellStyle name="Note 7 8 2 4" xfId="12056"/>
    <cellStyle name="Note 7 8 2 5" xfId="12057"/>
    <cellStyle name="Note 7 8 2 6" xfId="38510"/>
    <cellStyle name="Note 7 8 2 7" xfId="38511"/>
    <cellStyle name="Note 7 8 2 8" xfId="38512"/>
    <cellStyle name="Note 7 8 3" xfId="12058"/>
    <cellStyle name="Note 7 8 3 2" xfId="12059"/>
    <cellStyle name="Note 7 8 3 3" xfId="12060"/>
    <cellStyle name="Note 7 8 3 4" xfId="12061"/>
    <cellStyle name="Note 7 8 3 5" xfId="12062"/>
    <cellStyle name="Note 7 8 3 6" xfId="38513"/>
    <cellStyle name="Note 7 8 3 7" xfId="38514"/>
    <cellStyle name="Note 7 8 3 8" xfId="38515"/>
    <cellStyle name="Note 7 8 4" xfId="12063"/>
    <cellStyle name="Note 7 8 4 2" xfId="12064"/>
    <cellStyle name="Note 7 8 4 3" xfId="12065"/>
    <cellStyle name="Note 7 8 4 4" xfId="12066"/>
    <cellStyle name="Note 7 8 4 5" xfId="12067"/>
    <cellStyle name="Note 7 8 4 6" xfId="38516"/>
    <cellStyle name="Note 7 8 4 7" xfId="38517"/>
    <cellStyle name="Note 7 8 4 8" xfId="38518"/>
    <cellStyle name="Note 7 8 5" xfId="12068"/>
    <cellStyle name="Note 7 8 5 2" xfId="12069"/>
    <cellStyle name="Note 7 8 5 3" xfId="12070"/>
    <cellStyle name="Note 7 8 5 4" xfId="12071"/>
    <cellStyle name="Note 7 8 5 5" xfId="12072"/>
    <cellStyle name="Note 7 8 5 6" xfId="38519"/>
    <cellStyle name="Note 7 8 5 7" xfId="38520"/>
    <cellStyle name="Note 7 8 5 8" xfId="38521"/>
    <cellStyle name="Note 7 8 6" xfId="12073"/>
    <cellStyle name="Note 7 8 6 2" xfId="12074"/>
    <cellStyle name="Note 7 8 6 3" xfId="12075"/>
    <cellStyle name="Note 7 8 6 4" xfId="12076"/>
    <cellStyle name="Note 7 8 6 5" xfId="12077"/>
    <cellStyle name="Note 7 8 6 6" xfId="38522"/>
    <cellStyle name="Note 7 8 6 7" xfId="38523"/>
    <cellStyle name="Note 7 8 6 8" xfId="38524"/>
    <cellStyle name="Note 7 8 7" xfId="12078"/>
    <cellStyle name="Note 7 8 8" xfId="12079"/>
    <cellStyle name="Note 7 8 9" xfId="12080"/>
    <cellStyle name="Note 7 9" xfId="12081"/>
    <cellStyle name="Note 7 9 10" xfId="12082"/>
    <cellStyle name="Note 7 9 11" xfId="38525"/>
    <cellStyle name="Note 7 9 12" xfId="38526"/>
    <cellStyle name="Note 7 9 13" xfId="38527"/>
    <cellStyle name="Note 7 9 2" xfId="12083"/>
    <cellStyle name="Note 7 9 2 2" xfId="12084"/>
    <cellStyle name="Note 7 9 2 3" xfId="12085"/>
    <cellStyle name="Note 7 9 2 4" xfId="12086"/>
    <cellStyle name="Note 7 9 2 5" xfId="12087"/>
    <cellStyle name="Note 7 9 2 6" xfId="38528"/>
    <cellStyle name="Note 7 9 2 7" xfId="38529"/>
    <cellStyle name="Note 7 9 2 8" xfId="38530"/>
    <cellStyle name="Note 7 9 3" xfId="12088"/>
    <cellStyle name="Note 7 9 3 2" xfId="12089"/>
    <cellStyle name="Note 7 9 3 3" xfId="12090"/>
    <cellStyle name="Note 7 9 3 4" xfId="12091"/>
    <cellStyle name="Note 7 9 3 5" xfId="12092"/>
    <cellStyle name="Note 7 9 3 6" xfId="38531"/>
    <cellStyle name="Note 7 9 3 7" xfId="38532"/>
    <cellStyle name="Note 7 9 3 8" xfId="38533"/>
    <cellStyle name="Note 7 9 4" xfId="12093"/>
    <cellStyle name="Note 7 9 4 2" xfId="12094"/>
    <cellStyle name="Note 7 9 4 3" xfId="12095"/>
    <cellStyle name="Note 7 9 4 4" xfId="12096"/>
    <cellStyle name="Note 7 9 4 5" xfId="12097"/>
    <cellStyle name="Note 7 9 4 6" xfId="38534"/>
    <cellStyle name="Note 7 9 4 7" xfId="38535"/>
    <cellStyle name="Note 7 9 4 8" xfId="38536"/>
    <cellStyle name="Note 7 9 5" xfId="12098"/>
    <cellStyle name="Note 7 9 5 2" xfId="12099"/>
    <cellStyle name="Note 7 9 5 3" xfId="12100"/>
    <cellStyle name="Note 7 9 5 4" xfId="12101"/>
    <cellStyle name="Note 7 9 5 5" xfId="12102"/>
    <cellStyle name="Note 7 9 5 6" xfId="38537"/>
    <cellStyle name="Note 7 9 5 7" xfId="38538"/>
    <cellStyle name="Note 7 9 5 8" xfId="38539"/>
    <cellStyle name="Note 7 9 6" xfId="12103"/>
    <cellStyle name="Note 7 9 6 2" xfId="12104"/>
    <cellStyle name="Note 7 9 6 3" xfId="12105"/>
    <cellStyle name="Note 7 9 6 4" xfId="12106"/>
    <cellStyle name="Note 7 9 6 5" xfId="12107"/>
    <cellStyle name="Note 7 9 6 6" xfId="38540"/>
    <cellStyle name="Note 7 9 6 7" xfId="38541"/>
    <cellStyle name="Note 7 9 6 8" xfId="38542"/>
    <cellStyle name="Note 7 9 7" xfId="12108"/>
    <cellStyle name="Note 7 9 8" xfId="12109"/>
    <cellStyle name="Note 7 9 9" xfId="12110"/>
    <cellStyle name="Note 70" xfId="12111"/>
    <cellStyle name="Note 70 10" xfId="12112"/>
    <cellStyle name="Note 70 11" xfId="12113"/>
    <cellStyle name="Note 70 12" xfId="38543"/>
    <cellStyle name="Note 70 13" xfId="38544"/>
    <cellStyle name="Note 70 14" xfId="38545"/>
    <cellStyle name="Note 70 2" xfId="12114"/>
    <cellStyle name="Note 70 2 10" xfId="12115"/>
    <cellStyle name="Note 70 2 11" xfId="38546"/>
    <cellStyle name="Note 70 2 12" xfId="38547"/>
    <cellStyle name="Note 70 2 13" xfId="38548"/>
    <cellStyle name="Note 70 2 2" xfId="12116"/>
    <cellStyle name="Note 70 2 2 2" xfId="12117"/>
    <cellStyle name="Note 70 2 2 3" xfId="12118"/>
    <cellStyle name="Note 70 2 2 4" xfId="12119"/>
    <cellStyle name="Note 70 2 2 5" xfId="12120"/>
    <cellStyle name="Note 70 2 2 6" xfId="38549"/>
    <cellStyle name="Note 70 2 2 7" xfId="38550"/>
    <cellStyle name="Note 70 2 2 8" xfId="38551"/>
    <cellStyle name="Note 70 2 3" xfId="12121"/>
    <cellStyle name="Note 70 2 3 2" xfId="12122"/>
    <cellStyle name="Note 70 2 3 3" xfId="12123"/>
    <cellStyle name="Note 70 2 3 4" xfId="12124"/>
    <cellStyle name="Note 70 2 3 5" xfId="12125"/>
    <cellStyle name="Note 70 2 3 6" xfId="38552"/>
    <cellStyle name="Note 70 2 3 7" xfId="38553"/>
    <cellStyle name="Note 70 2 3 8" xfId="38554"/>
    <cellStyle name="Note 70 2 4" xfId="12126"/>
    <cellStyle name="Note 70 2 4 2" xfId="12127"/>
    <cellStyle name="Note 70 2 4 3" xfId="12128"/>
    <cellStyle name="Note 70 2 4 4" xfId="12129"/>
    <cellStyle name="Note 70 2 4 5" xfId="12130"/>
    <cellStyle name="Note 70 2 4 6" xfId="38555"/>
    <cellStyle name="Note 70 2 4 7" xfId="38556"/>
    <cellStyle name="Note 70 2 4 8" xfId="38557"/>
    <cellStyle name="Note 70 2 5" xfId="12131"/>
    <cellStyle name="Note 70 2 5 2" xfId="12132"/>
    <cellStyle name="Note 70 2 5 3" xfId="12133"/>
    <cellStyle name="Note 70 2 5 4" xfId="12134"/>
    <cellStyle name="Note 70 2 5 5" xfId="12135"/>
    <cellStyle name="Note 70 2 5 6" xfId="38558"/>
    <cellStyle name="Note 70 2 5 7" xfId="38559"/>
    <cellStyle name="Note 70 2 5 8" xfId="38560"/>
    <cellStyle name="Note 70 2 6" xfId="12136"/>
    <cellStyle name="Note 70 2 6 2" xfId="12137"/>
    <cellStyle name="Note 70 2 6 3" xfId="12138"/>
    <cellStyle name="Note 70 2 6 4" xfId="12139"/>
    <cellStyle name="Note 70 2 6 5" xfId="12140"/>
    <cellStyle name="Note 70 2 6 6" xfId="38561"/>
    <cellStyle name="Note 70 2 6 7" xfId="38562"/>
    <cellStyle name="Note 70 2 6 8" xfId="38563"/>
    <cellStyle name="Note 70 2 7" xfId="12141"/>
    <cellStyle name="Note 70 2 8" xfId="12142"/>
    <cellStyle name="Note 70 2 9" xfId="12143"/>
    <cellStyle name="Note 70 3" xfId="12144"/>
    <cellStyle name="Note 70 3 2" xfId="12145"/>
    <cellStyle name="Note 70 3 3" xfId="12146"/>
    <cellStyle name="Note 70 3 4" xfId="12147"/>
    <cellStyle name="Note 70 3 5" xfId="12148"/>
    <cellStyle name="Note 70 3 6" xfId="38564"/>
    <cellStyle name="Note 70 3 7" xfId="38565"/>
    <cellStyle name="Note 70 3 8" xfId="38566"/>
    <cellStyle name="Note 70 4" xfId="12149"/>
    <cellStyle name="Note 70 4 2" xfId="12150"/>
    <cellStyle name="Note 70 4 3" xfId="12151"/>
    <cellStyle name="Note 70 4 4" xfId="12152"/>
    <cellStyle name="Note 70 4 5" xfId="12153"/>
    <cellStyle name="Note 70 4 6" xfId="38567"/>
    <cellStyle name="Note 70 4 7" xfId="38568"/>
    <cellStyle name="Note 70 4 8" xfId="38569"/>
    <cellStyle name="Note 70 5" xfId="12154"/>
    <cellStyle name="Note 70 5 2" xfId="12155"/>
    <cellStyle name="Note 70 5 3" xfId="12156"/>
    <cellStyle name="Note 70 5 4" xfId="12157"/>
    <cellStyle name="Note 70 5 5" xfId="12158"/>
    <cellStyle name="Note 70 5 6" xfId="38570"/>
    <cellStyle name="Note 70 5 7" xfId="38571"/>
    <cellStyle name="Note 70 5 8" xfId="38572"/>
    <cellStyle name="Note 70 6" xfId="12159"/>
    <cellStyle name="Note 70 6 2" xfId="12160"/>
    <cellStyle name="Note 70 6 3" xfId="12161"/>
    <cellStyle name="Note 70 6 4" xfId="12162"/>
    <cellStyle name="Note 70 6 5" xfId="12163"/>
    <cellStyle name="Note 70 6 6" xfId="38573"/>
    <cellStyle name="Note 70 6 7" xfId="38574"/>
    <cellStyle name="Note 70 6 8" xfId="38575"/>
    <cellStyle name="Note 70 7" xfId="12164"/>
    <cellStyle name="Note 70 7 2" xfId="12165"/>
    <cellStyle name="Note 70 7 3" xfId="12166"/>
    <cellStyle name="Note 70 7 4" xfId="12167"/>
    <cellStyle name="Note 70 7 5" xfId="12168"/>
    <cellStyle name="Note 70 7 6" xfId="38576"/>
    <cellStyle name="Note 70 7 7" xfId="38577"/>
    <cellStyle name="Note 70 7 8" xfId="38578"/>
    <cellStyle name="Note 70 8" xfId="12169"/>
    <cellStyle name="Note 70 9" xfId="12170"/>
    <cellStyle name="Note 71" xfId="12171"/>
    <cellStyle name="Note 71 10" xfId="12172"/>
    <cellStyle name="Note 71 11" xfId="12173"/>
    <cellStyle name="Note 71 12" xfId="38579"/>
    <cellStyle name="Note 71 13" xfId="38580"/>
    <cellStyle name="Note 71 14" xfId="38581"/>
    <cellStyle name="Note 71 2" xfId="12174"/>
    <cellStyle name="Note 71 2 10" xfId="12175"/>
    <cellStyle name="Note 71 2 11" xfId="38582"/>
    <cellStyle name="Note 71 2 12" xfId="38583"/>
    <cellStyle name="Note 71 2 13" xfId="38584"/>
    <cellStyle name="Note 71 2 2" xfId="12176"/>
    <cellStyle name="Note 71 2 2 2" xfId="12177"/>
    <cellStyle name="Note 71 2 2 3" xfId="12178"/>
    <cellStyle name="Note 71 2 2 4" xfId="12179"/>
    <cellStyle name="Note 71 2 2 5" xfId="12180"/>
    <cellStyle name="Note 71 2 2 6" xfId="38585"/>
    <cellStyle name="Note 71 2 2 7" xfId="38586"/>
    <cellStyle name="Note 71 2 2 8" xfId="38587"/>
    <cellStyle name="Note 71 2 3" xfId="12181"/>
    <cellStyle name="Note 71 2 3 2" xfId="12182"/>
    <cellStyle name="Note 71 2 3 3" xfId="12183"/>
    <cellStyle name="Note 71 2 3 4" xfId="12184"/>
    <cellStyle name="Note 71 2 3 5" xfId="12185"/>
    <cellStyle name="Note 71 2 3 6" xfId="38588"/>
    <cellStyle name="Note 71 2 3 7" xfId="38589"/>
    <cellStyle name="Note 71 2 3 8" xfId="38590"/>
    <cellStyle name="Note 71 2 4" xfId="12186"/>
    <cellStyle name="Note 71 2 4 2" xfId="12187"/>
    <cellStyle name="Note 71 2 4 3" xfId="12188"/>
    <cellStyle name="Note 71 2 4 4" xfId="12189"/>
    <cellStyle name="Note 71 2 4 5" xfId="12190"/>
    <cellStyle name="Note 71 2 4 6" xfId="38591"/>
    <cellStyle name="Note 71 2 4 7" xfId="38592"/>
    <cellStyle name="Note 71 2 4 8" xfId="38593"/>
    <cellStyle name="Note 71 2 5" xfId="12191"/>
    <cellStyle name="Note 71 2 5 2" xfId="12192"/>
    <cellStyle name="Note 71 2 5 3" xfId="12193"/>
    <cellStyle name="Note 71 2 5 4" xfId="12194"/>
    <cellStyle name="Note 71 2 5 5" xfId="12195"/>
    <cellStyle name="Note 71 2 5 6" xfId="38594"/>
    <cellStyle name="Note 71 2 5 7" xfId="38595"/>
    <cellStyle name="Note 71 2 5 8" xfId="38596"/>
    <cellStyle name="Note 71 2 6" xfId="12196"/>
    <cellStyle name="Note 71 2 6 2" xfId="12197"/>
    <cellStyle name="Note 71 2 6 3" xfId="12198"/>
    <cellStyle name="Note 71 2 6 4" xfId="12199"/>
    <cellStyle name="Note 71 2 6 5" xfId="12200"/>
    <cellStyle name="Note 71 2 6 6" xfId="38597"/>
    <cellStyle name="Note 71 2 6 7" xfId="38598"/>
    <cellStyle name="Note 71 2 6 8" xfId="38599"/>
    <cellStyle name="Note 71 2 7" xfId="12201"/>
    <cellStyle name="Note 71 2 8" xfId="12202"/>
    <cellStyle name="Note 71 2 9" xfId="12203"/>
    <cellStyle name="Note 71 3" xfId="12204"/>
    <cellStyle name="Note 71 3 2" xfId="12205"/>
    <cellStyle name="Note 71 3 3" xfId="12206"/>
    <cellStyle name="Note 71 3 4" xfId="12207"/>
    <cellStyle name="Note 71 3 5" xfId="12208"/>
    <cellStyle name="Note 71 3 6" xfId="38600"/>
    <cellStyle name="Note 71 3 7" xfId="38601"/>
    <cellStyle name="Note 71 3 8" xfId="38602"/>
    <cellStyle name="Note 71 4" xfId="12209"/>
    <cellStyle name="Note 71 4 2" xfId="12210"/>
    <cellStyle name="Note 71 4 3" xfId="12211"/>
    <cellStyle name="Note 71 4 4" xfId="12212"/>
    <cellStyle name="Note 71 4 5" xfId="12213"/>
    <cellStyle name="Note 71 4 6" xfId="38603"/>
    <cellStyle name="Note 71 4 7" xfId="38604"/>
    <cellStyle name="Note 71 4 8" xfId="38605"/>
    <cellStyle name="Note 71 5" xfId="12214"/>
    <cellStyle name="Note 71 5 2" xfId="12215"/>
    <cellStyle name="Note 71 5 3" xfId="12216"/>
    <cellStyle name="Note 71 5 4" xfId="12217"/>
    <cellStyle name="Note 71 5 5" xfId="12218"/>
    <cellStyle name="Note 71 5 6" xfId="38606"/>
    <cellStyle name="Note 71 5 7" xfId="38607"/>
    <cellStyle name="Note 71 5 8" xfId="38608"/>
    <cellStyle name="Note 71 6" xfId="12219"/>
    <cellStyle name="Note 71 6 2" xfId="12220"/>
    <cellStyle name="Note 71 6 3" xfId="12221"/>
    <cellStyle name="Note 71 6 4" xfId="12222"/>
    <cellStyle name="Note 71 6 5" xfId="12223"/>
    <cellStyle name="Note 71 6 6" xfId="38609"/>
    <cellStyle name="Note 71 6 7" xfId="38610"/>
    <cellStyle name="Note 71 6 8" xfId="38611"/>
    <cellStyle name="Note 71 7" xfId="12224"/>
    <cellStyle name="Note 71 7 2" xfId="12225"/>
    <cellStyle name="Note 71 7 3" xfId="12226"/>
    <cellStyle name="Note 71 7 4" xfId="12227"/>
    <cellStyle name="Note 71 7 5" xfId="12228"/>
    <cellStyle name="Note 71 7 6" xfId="38612"/>
    <cellStyle name="Note 71 7 7" xfId="38613"/>
    <cellStyle name="Note 71 7 8" xfId="38614"/>
    <cellStyle name="Note 71 8" xfId="12229"/>
    <cellStyle name="Note 71 9" xfId="12230"/>
    <cellStyle name="Note 72" xfId="12231"/>
    <cellStyle name="Note 72 10" xfId="12232"/>
    <cellStyle name="Note 72 11" xfId="12233"/>
    <cellStyle name="Note 72 12" xfId="38615"/>
    <cellStyle name="Note 72 13" xfId="38616"/>
    <cellStyle name="Note 72 14" xfId="38617"/>
    <cellStyle name="Note 72 2" xfId="12234"/>
    <cellStyle name="Note 72 2 10" xfId="12235"/>
    <cellStyle name="Note 72 2 11" xfId="38618"/>
    <cellStyle name="Note 72 2 12" xfId="38619"/>
    <cellStyle name="Note 72 2 13" xfId="38620"/>
    <cellStyle name="Note 72 2 2" xfId="12236"/>
    <cellStyle name="Note 72 2 2 2" xfId="12237"/>
    <cellStyle name="Note 72 2 2 3" xfId="12238"/>
    <cellStyle name="Note 72 2 2 4" xfId="12239"/>
    <cellStyle name="Note 72 2 2 5" xfId="12240"/>
    <cellStyle name="Note 72 2 2 6" xfId="38621"/>
    <cellStyle name="Note 72 2 2 7" xfId="38622"/>
    <cellStyle name="Note 72 2 2 8" xfId="38623"/>
    <cellStyle name="Note 72 2 3" xfId="12241"/>
    <cellStyle name="Note 72 2 3 2" xfId="12242"/>
    <cellStyle name="Note 72 2 3 3" xfId="12243"/>
    <cellStyle name="Note 72 2 3 4" xfId="12244"/>
    <cellStyle name="Note 72 2 3 5" xfId="12245"/>
    <cellStyle name="Note 72 2 3 6" xfId="38624"/>
    <cellStyle name="Note 72 2 3 7" xfId="38625"/>
    <cellStyle name="Note 72 2 3 8" xfId="38626"/>
    <cellStyle name="Note 72 2 4" xfId="12246"/>
    <cellStyle name="Note 72 2 4 2" xfId="12247"/>
    <cellStyle name="Note 72 2 4 3" xfId="12248"/>
    <cellStyle name="Note 72 2 4 4" xfId="12249"/>
    <cellStyle name="Note 72 2 4 5" xfId="12250"/>
    <cellStyle name="Note 72 2 4 6" xfId="38627"/>
    <cellStyle name="Note 72 2 4 7" xfId="38628"/>
    <cellStyle name="Note 72 2 4 8" xfId="38629"/>
    <cellStyle name="Note 72 2 5" xfId="12251"/>
    <cellStyle name="Note 72 2 5 2" xfId="12252"/>
    <cellStyle name="Note 72 2 5 3" xfId="12253"/>
    <cellStyle name="Note 72 2 5 4" xfId="12254"/>
    <cellStyle name="Note 72 2 5 5" xfId="12255"/>
    <cellStyle name="Note 72 2 5 6" xfId="38630"/>
    <cellStyle name="Note 72 2 5 7" xfId="38631"/>
    <cellStyle name="Note 72 2 5 8" xfId="38632"/>
    <cellStyle name="Note 72 2 6" xfId="12256"/>
    <cellStyle name="Note 72 2 6 2" xfId="12257"/>
    <cellStyle name="Note 72 2 6 3" xfId="12258"/>
    <cellStyle name="Note 72 2 6 4" xfId="12259"/>
    <cellStyle name="Note 72 2 6 5" xfId="12260"/>
    <cellStyle name="Note 72 2 6 6" xfId="38633"/>
    <cellStyle name="Note 72 2 6 7" xfId="38634"/>
    <cellStyle name="Note 72 2 6 8" xfId="38635"/>
    <cellStyle name="Note 72 2 7" xfId="12261"/>
    <cellStyle name="Note 72 2 8" xfId="12262"/>
    <cellStyle name="Note 72 2 9" xfId="12263"/>
    <cellStyle name="Note 72 3" xfId="12264"/>
    <cellStyle name="Note 72 3 2" xfId="12265"/>
    <cellStyle name="Note 72 3 3" xfId="12266"/>
    <cellStyle name="Note 72 3 4" xfId="12267"/>
    <cellStyle name="Note 72 3 5" xfId="12268"/>
    <cellStyle name="Note 72 3 6" xfId="38636"/>
    <cellStyle name="Note 72 3 7" xfId="38637"/>
    <cellStyle name="Note 72 3 8" xfId="38638"/>
    <cellStyle name="Note 72 4" xfId="12269"/>
    <cellStyle name="Note 72 4 2" xfId="12270"/>
    <cellStyle name="Note 72 4 3" xfId="12271"/>
    <cellStyle name="Note 72 4 4" xfId="12272"/>
    <cellStyle name="Note 72 4 5" xfId="12273"/>
    <cellStyle name="Note 72 4 6" xfId="38639"/>
    <cellStyle name="Note 72 4 7" xfId="38640"/>
    <cellStyle name="Note 72 4 8" xfId="38641"/>
    <cellStyle name="Note 72 5" xfId="12274"/>
    <cellStyle name="Note 72 5 2" xfId="12275"/>
    <cellStyle name="Note 72 5 3" xfId="12276"/>
    <cellStyle name="Note 72 5 4" xfId="12277"/>
    <cellStyle name="Note 72 5 5" xfId="12278"/>
    <cellStyle name="Note 72 5 6" xfId="38642"/>
    <cellStyle name="Note 72 5 7" xfId="38643"/>
    <cellStyle name="Note 72 5 8" xfId="38644"/>
    <cellStyle name="Note 72 6" xfId="12279"/>
    <cellStyle name="Note 72 6 2" xfId="12280"/>
    <cellStyle name="Note 72 6 3" xfId="12281"/>
    <cellStyle name="Note 72 6 4" xfId="12282"/>
    <cellStyle name="Note 72 6 5" xfId="12283"/>
    <cellStyle name="Note 72 6 6" xfId="38645"/>
    <cellStyle name="Note 72 6 7" xfId="38646"/>
    <cellStyle name="Note 72 6 8" xfId="38647"/>
    <cellStyle name="Note 72 7" xfId="12284"/>
    <cellStyle name="Note 72 7 2" xfId="12285"/>
    <cellStyle name="Note 72 7 3" xfId="12286"/>
    <cellStyle name="Note 72 7 4" xfId="12287"/>
    <cellStyle name="Note 72 7 5" xfId="12288"/>
    <cellStyle name="Note 72 7 6" xfId="38648"/>
    <cellStyle name="Note 72 7 7" xfId="38649"/>
    <cellStyle name="Note 72 7 8" xfId="38650"/>
    <cellStyle name="Note 72 8" xfId="12289"/>
    <cellStyle name="Note 72 9" xfId="12290"/>
    <cellStyle name="Note 73" xfId="12291"/>
    <cellStyle name="Note 73 10" xfId="12292"/>
    <cellStyle name="Note 73 11" xfId="12293"/>
    <cellStyle name="Note 73 12" xfId="38651"/>
    <cellStyle name="Note 73 13" xfId="38652"/>
    <cellStyle name="Note 73 14" xfId="38653"/>
    <cellStyle name="Note 73 2" xfId="12294"/>
    <cellStyle name="Note 73 2 10" xfId="12295"/>
    <cellStyle name="Note 73 2 11" xfId="38654"/>
    <cellStyle name="Note 73 2 12" xfId="38655"/>
    <cellStyle name="Note 73 2 13" xfId="38656"/>
    <cellStyle name="Note 73 2 2" xfId="12296"/>
    <cellStyle name="Note 73 2 2 2" xfId="12297"/>
    <cellStyle name="Note 73 2 2 3" xfId="12298"/>
    <cellStyle name="Note 73 2 2 4" xfId="12299"/>
    <cellStyle name="Note 73 2 2 5" xfId="12300"/>
    <cellStyle name="Note 73 2 2 6" xfId="38657"/>
    <cellStyle name="Note 73 2 2 7" xfId="38658"/>
    <cellStyle name="Note 73 2 2 8" xfId="38659"/>
    <cellStyle name="Note 73 2 3" xfId="12301"/>
    <cellStyle name="Note 73 2 3 2" xfId="12302"/>
    <cellStyle name="Note 73 2 3 3" xfId="12303"/>
    <cellStyle name="Note 73 2 3 4" xfId="12304"/>
    <cellStyle name="Note 73 2 3 5" xfId="12305"/>
    <cellStyle name="Note 73 2 3 6" xfId="38660"/>
    <cellStyle name="Note 73 2 3 7" xfId="38661"/>
    <cellStyle name="Note 73 2 3 8" xfId="38662"/>
    <cellStyle name="Note 73 2 4" xfId="12306"/>
    <cellStyle name="Note 73 2 4 2" xfId="12307"/>
    <cellStyle name="Note 73 2 4 3" xfId="12308"/>
    <cellStyle name="Note 73 2 4 4" xfId="12309"/>
    <cellStyle name="Note 73 2 4 5" xfId="12310"/>
    <cellStyle name="Note 73 2 4 6" xfId="38663"/>
    <cellStyle name="Note 73 2 4 7" xfId="38664"/>
    <cellStyle name="Note 73 2 4 8" xfId="38665"/>
    <cellStyle name="Note 73 2 5" xfId="12311"/>
    <cellStyle name="Note 73 2 5 2" xfId="12312"/>
    <cellStyle name="Note 73 2 5 3" xfId="12313"/>
    <cellStyle name="Note 73 2 5 4" xfId="12314"/>
    <cellStyle name="Note 73 2 5 5" xfId="12315"/>
    <cellStyle name="Note 73 2 5 6" xfId="38666"/>
    <cellStyle name="Note 73 2 5 7" xfId="38667"/>
    <cellStyle name="Note 73 2 5 8" xfId="38668"/>
    <cellStyle name="Note 73 2 6" xfId="12316"/>
    <cellStyle name="Note 73 2 6 2" xfId="12317"/>
    <cellStyle name="Note 73 2 6 3" xfId="12318"/>
    <cellStyle name="Note 73 2 6 4" xfId="12319"/>
    <cellStyle name="Note 73 2 6 5" xfId="12320"/>
    <cellStyle name="Note 73 2 6 6" xfId="38669"/>
    <cellStyle name="Note 73 2 6 7" xfId="38670"/>
    <cellStyle name="Note 73 2 6 8" xfId="38671"/>
    <cellStyle name="Note 73 2 7" xfId="12321"/>
    <cellStyle name="Note 73 2 8" xfId="12322"/>
    <cellStyle name="Note 73 2 9" xfId="12323"/>
    <cellStyle name="Note 73 3" xfId="12324"/>
    <cellStyle name="Note 73 3 2" xfId="12325"/>
    <cellStyle name="Note 73 3 3" xfId="12326"/>
    <cellStyle name="Note 73 3 4" xfId="12327"/>
    <cellStyle name="Note 73 3 5" xfId="12328"/>
    <cellStyle name="Note 73 3 6" xfId="38672"/>
    <cellStyle name="Note 73 3 7" xfId="38673"/>
    <cellStyle name="Note 73 3 8" xfId="38674"/>
    <cellStyle name="Note 73 4" xfId="12329"/>
    <cellStyle name="Note 73 4 2" xfId="12330"/>
    <cellStyle name="Note 73 4 3" xfId="12331"/>
    <cellStyle name="Note 73 4 4" xfId="12332"/>
    <cellStyle name="Note 73 4 5" xfId="12333"/>
    <cellStyle name="Note 73 4 6" xfId="38675"/>
    <cellStyle name="Note 73 4 7" xfId="38676"/>
    <cellStyle name="Note 73 4 8" xfId="38677"/>
    <cellStyle name="Note 73 5" xfId="12334"/>
    <cellStyle name="Note 73 5 2" xfId="12335"/>
    <cellStyle name="Note 73 5 3" xfId="12336"/>
    <cellStyle name="Note 73 5 4" xfId="12337"/>
    <cellStyle name="Note 73 5 5" xfId="12338"/>
    <cellStyle name="Note 73 5 6" xfId="38678"/>
    <cellStyle name="Note 73 5 7" xfId="38679"/>
    <cellStyle name="Note 73 5 8" xfId="38680"/>
    <cellStyle name="Note 73 6" xfId="12339"/>
    <cellStyle name="Note 73 6 2" xfId="12340"/>
    <cellStyle name="Note 73 6 3" xfId="12341"/>
    <cellStyle name="Note 73 6 4" xfId="12342"/>
    <cellStyle name="Note 73 6 5" xfId="12343"/>
    <cellStyle name="Note 73 6 6" xfId="38681"/>
    <cellStyle name="Note 73 6 7" xfId="38682"/>
    <cellStyle name="Note 73 6 8" xfId="38683"/>
    <cellStyle name="Note 73 7" xfId="12344"/>
    <cellStyle name="Note 73 7 2" xfId="12345"/>
    <cellStyle name="Note 73 7 3" xfId="12346"/>
    <cellStyle name="Note 73 7 4" xfId="12347"/>
    <cellStyle name="Note 73 7 5" xfId="12348"/>
    <cellStyle name="Note 73 7 6" xfId="38684"/>
    <cellStyle name="Note 73 7 7" xfId="38685"/>
    <cellStyle name="Note 73 7 8" xfId="38686"/>
    <cellStyle name="Note 73 8" xfId="12349"/>
    <cellStyle name="Note 73 9" xfId="12350"/>
    <cellStyle name="Note 74" xfId="12351"/>
    <cellStyle name="Note 74 10" xfId="12352"/>
    <cellStyle name="Note 74 11" xfId="12353"/>
    <cellStyle name="Note 74 12" xfId="38687"/>
    <cellStyle name="Note 74 13" xfId="38688"/>
    <cellStyle name="Note 74 14" xfId="38689"/>
    <cellStyle name="Note 74 2" xfId="12354"/>
    <cellStyle name="Note 74 2 10" xfId="12355"/>
    <cellStyle name="Note 74 2 11" xfId="38690"/>
    <cellStyle name="Note 74 2 12" xfId="38691"/>
    <cellStyle name="Note 74 2 13" xfId="38692"/>
    <cellStyle name="Note 74 2 2" xfId="12356"/>
    <cellStyle name="Note 74 2 2 2" xfId="12357"/>
    <cellStyle name="Note 74 2 2 3" xfId="12358"/>
    <cellStyle name="Note 74 2 2 4" xfId="12359"/>
    <cellStyle name="Note 74 2 2 5" xfId="12360"/>
    <cellStyle name="Note 74 2 2 6" xfId="38693"/>
    <cellStyle name="Note 74 2 2 7" xfId="38694"/>
    <cellStyle name="Note 74 2 2 8" xfId="38695"/>
    <cellStyle name="Note 74 2 3" xfId="12361"/>
    <cellStyle name="Note 74 2 3 2" xfId="12362"/>
    <cellStyle name="Note 74 2 3 3" xfId="12363"/>
    <cellStyle name="Note 74 2 3 4" xfId="12364"/>
    <cellStyle name="Note 74 2 3 5" xfId="12365"/>
    <cellStyle name="Note 74 2 3 6" xfId="38696"/>
    <cellStyle name="Note 74 2 3 7" xfId="38697"/>
    <cellStyle name="Note 74 2 3 8" xfId="38698"/>
    <cellStyle name="Note 74 2 4" xfId="12366"/>
    <cellStyle name="Note 74 2 4 2" xfId="12367"/>
    <cellStyle name="Note 74 2 4 3" xfId="12368"/>
    <cellStyle name="Note 74 2 4 4" xfId="12369"/>
    <cellStyle name="Note 74 2 4 5" xfId="12370"/>
    <cellStyle name="Note 74 2 4 6" xfId="38699"/>
    <cellStyle name="Note 74 2 4 7" xfId="38700"/>
    <cellStyle name="Note 74 2 4 8" xfId="38701"/>
    <cellStyle name="Note 74 2 5" xfId="12371"/>
    <cellStyle name="Note 74 2 5 2" xfId="12372"/>
    <cellStyle name="Note 74 2 5 3" xfId="12373"/>
    <cellStyle name="Note 74 2 5 4" xfId="12374"/>
    <cellStyle name="Note 74 2 5 5" xfId="12375"/>
    <cellStyle name="Note 74 2 5 6" xfId="38702"/>
    <cellStyle name="Note 74 2 5 7" xfId="38703"/>
    <cellStyle name="Note 74 2 5 8" xfId="38704"/>
    <cellStyle name="Note 74 2 6" xfId="12376"/>
    <cellStyle name="Note 74 2 6 2" xfId="12377"/>
    <cellStyle name="Note 74 2 6 3" xfId="12378"/>
    <cellStyle name="Note 74 2 6 4" xfId="12379"/>
    <cellStyle name="Note 74 2 6 5" xfId="12380"/>
    <cellStyle name="Note 74 2 6 6" xfId="38705"/>
    <cellStyle name="Note 74 2 6 7" xfId="38706"/>
    <cellStyle name="Note 74 2 6 8" xfId="38707"/>
    <cellStyle name="Note 74 2 7" xfId="12381"/>
    <cellStyle name="Note 74 2 8" xfId="12382"/>
    <cellStyle name="Note 74 2 9" xfId="12383"/>
    <cellStyle name="Note 74 3" xfId="12384"/>
    <cellStyle name="Note 74 3 2" xfId="12385"/>
    <cellStyle name="Note 74 3 3" xfId="12386"/>
    <cellStyle name="Note 74 3 4" xfId="12387"/>
    <cellStyle name="Note 74 3 5" xfId="12388"/>
    <cellStyle name="Note 74 3 6" xfId="38708"/>
    <cellStyle name="Note 74 3 7" xfId="38709"/>
    <cellStyle name="Note 74 3 8" xfId="38710"/>
    <cellStyle name="Note 74 4" xfId="12389"/>
    <cellStyle name="Note 74 4 2" xfId="12390"/>
    <cellStyle name="Note 74 4 3" xfId="12391"/>
    <cellStyle name="Note 74 4 4" xfId="12392"/>
    <cellStyle name="Note 74 4 5" xfId="12393"/>
    <cellStyle name="Note 74 4 6" xfId="38711"/>
    <cellStyle name="Note 74 4 7" xfId="38712"/>
    <cellStyle name="Note 74 4 8" xfId="38713"/>
    <cellStyle name="Note 74 5" xfId="12394"/>
    <cellStyle name="Note 74 5 2" xfId="12395"/>
    <cellStyle name="Note 74 5 3" xfId="12396"/>
    <cellStyle name="Note 74 5 4" xfId="12397"/>
    <cellStyle name="Note 74 5 5" xfId="12398"/>
    <cellStyle name="Note 74 5 6" xfId="38714"/>
    <cellStyle name="Note 74 5 7" xfId="38715"/>
    <cellStyle name="Note 74 5 8" xfId="38716"/>
    <cellStyle name="Note 74 6" xfId="12399"/>
    <cellStyle name="Note 74 6 2" xfId="12400"/>
    <cellStyle name="Note 74 6 3" xfId="12401"/>
    <cellStyle name="Note 74 6 4" xfId="12402"/>
    <cellStyle name="Note 74 6 5" xfId="12403"/>
    <cellStyle name="Note 74 6 6" xfId="38717"/>
    <cellStyle name="Note 74 6 7" xfId="38718"/>
    <cellStyle name="Note 74 6 8" xfId="38719"/>
    <cellStyle name="Note 74 7" xfId="12404"/>
    <cellStyle name="Note 74 7 2" xfId="12405"/>
    <cellStyle name="Note 74 7 3" xfId="12406"/>
    <cellStyle name="Note 74 7 4" xfId="12407"/>
    <cellStyle name="Note 74 7 5" xfId="12408"/>
    <cellStyle name="Note 74 7 6" xfId="38720"/>
    <cellStyle name="Note 74 7 7" xfId="38721"/>
    <cellStyle name="Note 74 7 8" xfId="38722"/>
    <cellStyle name="Note 74 8" xfId="12409"/>
    <cellStyle name="Note 74 9" xfId="12410"/>
    <cellStyle name="Note 75" xfId="12411"/>
    <cellStyle name="Note 75 10" xfId="12412"/>
    <cellStyle name="Note 75 11" xfId="12413"/>
    <cellStyle name="Note 75 12" xfId="38723"/>
    <cellStyle name="Note 75 13" xfId="38724"/>
    <cellStyle name="Note 75 14" xfId="38725"/>
    <cellStyle name="Note 75 2" xfId="12414"/>
    <cellStyle name="Note 75 2 10" xfId="12415"/>
    <cellStyle name="Note 75 2 11" xfId="38726"/>
    <cellStyle name="Note 75 2 12" xfId="38727"/>
    <cellStyle name="Note 75 2 13" xfId="38728"/>
    <cellStyle name="Note 75 2 2" xfId="12416"/>
    <cellStyle name="Note 75 2 2 2" xfId="12417"/>
    <cellStyle name="Note 75 2 2 3" xfId="12418"/>
    <cellStyle name="Note 75 2 2 4" xfId="12419"/>
    <cellStyle name="Note 75 2 2 5" xfId="12420"/>
    <cellStyle name="Note 75 2 2 6" xfId="38729"/>
    <cellStyle name="Note 75 2 2 7" xfId="38730"/>
    <cellStyle name="Note 75 2 2 8" xfId="38731"/>
    <cellStyle name="Note 75 2 3" xfId="12421"/>
    <cellStyle name="Note 75 2 3 2" xfId="12422"/>
    <cellStyle name="Note 75 2 3 3" xfId="12423"/>
    <cellStyle name="Note 75 2 3 4" xfId="12424"/>
    <cellStyle name="Note 75 2 3 5" xfId="12425"/>
    <cellStyle name="Note 75 2 3 6" xfId="38732"/>
    <cellStyle name="Note 75 2 3 7" xfId="38733"/>
    <cellStyle name="Note 75 2 3 8" xfId="38734"/>
    <cellStyle name="Note 75 2 4" xfId="12426"/>
    <cellStyle name="Note 75 2 4 2" xfId="12427"/>
    <cellStyle name="Note 75 2 4 3" xfId="12428"/>
    <cellStyle name="Note 75 2 4 4" xfId="12429"/>
    <cellStyle name="Note 75 2 4 5" xfId="12430"/>
    <cellStyle name="Note 75 2 4 6" xfId="38735"/>
    <cellStyle name="Note 75 2 4 7" xfId="38736"/>
    <cellStyle name="Note 75 2 4 8" xfId="38737"/>
    <cellStyle name="Note 75 2 5" xfId="12431"/>
    <cellStyle name="Note 75 2 5 2" xfId="12432"/>
    <cellStyle name="Note 75 2 5 3" xfId="12433"/>
    <cellStyle name="Note 75 2 5 4" xfId="12434"/>
    <cellStyle name="Note 75 2 5 5" xfId="12435"/>
    <cellStyle name="Note 75 2 5 6" xfId="38738"/>
    <cellStyle name="Note 75 2 5 7" xfId="38739"/>
    <cellStyle name="Note 75 2 5 8" xfId="38740"/>
    <cellStyle name="Note 75 2 6" xfId="12436"/>
    <cellStyle name="Note 75 2 6 2" xfId="12437"/>
    <cellStyle name="Note 75 2 6 3" xfId="12438"/>
    <cellStyle name="Note 75 2 6 4" xfId="12439"/>
    <cellStyle name="Note 75 2 6 5" xfId="12440"/>
    <cellStyle name="Note 75 2 6 6" xfId="38741"/>
    <cellStyle name="Note 75 2 6 7" xfId="38742"/>
    <cellStyle name="Note 75 2 6 8" xfId="38743"/>
    <cellStyle name="Note 75 2 7" xfId="12441"/>
    <cellStyle name="Note 75 2 8" xfId="12442"/>
    <cellStyle name="Note 75 2 9" xfId="12443"/>
    <cellStyle name="Note 75 3" xfId="12444"/>
    <cellStyle name="Note 75 3 2" xfId="12445"/>
    <cellStyle name="Note 75 3 3" xfId="12446"/>
    <cellStyle name="Note 75 3 4" xfId="12447"/>
    <cellStyle name="Note 75 3 5" xfId="12448"/>
    <cellStyle name="Note 75 3 6" xfId="38744"/>
    <cellStyle name="Note 75 3 7" xfId="38745"/>
    <cellStyle name="Note 75 3 8" xfId="38746"/>
    <cellStyle name="Note 75 4" xfId="12449"/>
    <cellStyle name="Note 75 4 2" xfId="12450"/>
    <cellStyle name="Note 75 4 3" xfId="12451"/>
    <cellStyle name="Note 75 4 4" xfId="12452"/>
    <cellStyle name="Note 75 4 5" xfId="12453"/>
    <cellStyle name="Note 75 4 6" xfId="38747"/>
    <cellStyle name="Note 75 4 7" xfId="38748"/>
    <cellStyle name="Note 75 4 8" xfId="38749"/>
    <cellStyle name="Note 75 5" xfId="12454"/>
    <cellStyle name="Note 75 5 2" xfId="12455"/>
    <cellStyle name="Note 75 5 3" xfId="12456"/>
    <cellStyle name="Note 75 5 4" xfId="12457"/>
    <cellStyle name="Note 75 5 5" xfId="12458"/>
    <cellStyle name="Note 75 5 6" xfId="38750"/>
    <cellStyle name="Note 75 5 7" xfId="38751"/>
    <cellStyle name="Note 75 5 8" xfId="38752"/>
    <cellStyle name="Note 75 6" xfId="12459"/>
    <cellStyle name="Note 75 6 2" xfId="12460"/>
    <cellStyle name="Note 75 6 3" xfId="12461"/>
    <cellStyle name="Note 75 6 4" xfId="12462"/>
    <cellStyle name="Note 75 6 5" xfId="12463"/>
    <cellStyle name="Note 75 6 6" xfId="38753"/>
    <cellStyle name="Note 75 6 7" xfId="38754"/>
    <cellStyle name="Note 75 6 8" xfId="38755"/>
    <cellStyle name="Note 75 7" xfId="12464"/>
    <cellStyle name="Note 75 7 2" xfId="12465"/>
    <cellStyle name="Note 75 7 3" xfId="12466"/>
    <cellStyle name="Note 75 7 4" xfId="12467"/>
    <cellStyle name="Note 75 7 5" xfId="12468"/>
    <cellStyle name="Note 75 7 6" xfId="38756"/>
    <cellStyle name="Note 75 7 7" xfId="38757"/>
    <cellStyle name="Note 75 7 8" xfId="38758"/>
    <cellStyle name="Note 75 8" xfId="12469"/>
    <cellStyle name="Note 75 9" xfId="12470"/>
    <cellStyle name="Note 76" xfId="12471"/>
    <cellStyle name="Note 76 10" xfId="12472"/>
    <cellStyle name="Note 76 11" xfId="12473"/>
    <cellStyle name="Note 76 12" xfId="38759"/>
    <cellStyle name="Note 76 13" xfId="38760"/>
    <cellStyle name="Note 76 14" xfId="38761"/>
    <cellStyle name="Note 76 2" xfId="12474"/>
    <cellStyle name="Note 76 2 10" xfId="12475"/>
    <cellStyle name="Note 76 2 11" xfId="38762"/>
    <cellStyle name="Note 76 2 12" xfId="38763"/>
    <cellStyle name="Note 76 2 13" xfId="38764"/>
    <cellStyle name="Note 76 2 2" xfId="12476"/>
    <cellStyle name="Note 76 2 2 2" xfId="12477"/>
    <cellStyle name="Note 76 2 2 3" xfId="12478"/>
    <cellStyle name="Note 76 2 2 4" xfId="12479"/>
    <cellStyle name="Note 76 2 2 5" xfId="12480"/>
    <cellStyle name="Note 76 2 2 6" xfId="38765"/>
    <cellStyle name="Note 76 2 2 7" xfId="38766"/>
    <cellStyle name="Note 76 2 2 8" xfId="38767"/>
    <cellStyle name="Note 76 2 3" xfId="12481"/>
    <cellStyle name="Note 76 2 3 2" xfId="12482"/>
    <cellStyle name="Note 76 2 3 3" xfId="12483"/>
    <cellStyle name="Note 76 2 3 4" xfId="12484"/>
    <cellStyle name="Note 76 2 3 5" xfId="12485"/>
    <cellStyle name="Note 76 2 3 6" xfId="38768"/>
    <cellStyle name="Note 76 2 3 7" xfId="38769"/>
    <cellStyle name="Note 76 2 3 8" xfId="38770"/>
    <cellStyle name="Note 76 2 4" xfId="12486"/>
    <cellStyle name="Note 76 2 4 2" xfId="12487"/>
    <cellStyle name="Note 76 2 4 3" xfId="12488"/>
    <cellStyle name="Note 76 2 4 4" xfId="12489"/>
    <cellStyle name="Note 76 2 4 5" xfId="12490"/>
    <cellStyle name="Note 76 2 4 6" xfId="38771"/>
    <cellStyle name="Note 76 2 4 7" xfId="38772"/>
    <cellStyle name="Note 76 2 4 8" xfId="38773"/>
    <cellStyle name="Note 76 2 5" xfId="12491"/>
    <cellStyle name="Note 76 2 5 2" xfId="12492"/>
    <cellStyle name="Note 76 2 5 3" xfId="12493"/>
    <cellStyle name="Note 76 2 5 4" xfId="12494"/>
    <cellStyle name="Note 76 2 5 5" xfId="12495"/>
    <cellStyle name="Note 76 2 5 6" xfId="38774"/>
    <cellStyle name="Note 76 2 5 7" xfId="38775"/>
    <cellStyle name="Note 76 2 5 8" xfId="38776"/>
    <cellStyle name="Note 76 2 6" xfId="12496"/>
    <cellStyle name="Note 76 2 6 2" xfId="12497"/>
    <cellStyle name="Note 76 2 6 3" xfId="12498"/>
    <cellStyle name="Note 76 2 6 4" xfId="12499"/>
    <cellStyle name="Note 76 2 6 5" xfId="12500"/>
    <cellStyle name="Note 76 2 6 6" xfId="38777"/>
    <cellStyle name="Note 76 2 6 7" xfId="38778"/>
    <cellStyle name="Note 76 2 6 8" xfId="38779"/>
    <cellStyle name="Note 76 2 7" xfId="12501"/>
    <cellStyle name="Note 76 2 8" xfId="12502"/>
    <cellStyle name="Note 76 2 9" xfId="12503"/>
    <cellStyle name="Note 76 3" xfId="12504"/>
    <cellStyle name="Note 76 3 2" xfId="12505"/>
    <cellStyle name="Note 76 3 3" xfId="12506"/>
    <cellStyle name="Note 76 3 4" xfId="12507"/>
    <cellStyle name="Note 76 3 5" xfId="12508"/>
    <cellStyle name="Note 76 3 6" xfId="38780"/>
    <cellStyle name="Note 76 3 7" xfId="38781"/>
    <cellStyle name="Note 76 3 8" xfId="38782"/>
    <cellStyle name="Note 76 4" xfId="12509"/>
    <cellStyle name="Note 76 4 2" xfId="12510"/>
    <cellStyle name="Note 76 4 3" xfId="12511"/>
    <cellStyle name="Note 76 4 4" xfId="12512"/>
    <cellStyle name="Note 76 4 5" xfId="12513"/>
    <cellStyle name="Note 76 4 6" xfId="38783"/>
    <cellStyle name="Note 76 4 7" xfId="38784"/>
    <cellStyle name="Note 76 4 8" xfId="38785"/>
    <cellStyle name="Note 76 5" xfId="12514"/>
    <cellStyle name="Note 76 5 2" xfId="12515"/>
    <cellStyle name="Note 76 5 3" xfId="12516"/>
    <cellStyle name="Note 76 5 4" xfId="12517"/>
    <cellStyle name="Note 76 5 5" xfId="12518"/>
    <cellStyle name="Note 76 5 6" xfId="38786"/>
    <cellStyle name="Note 76 5 7" xfId="38787"/>
    <cellStyle name="Note 76 5 8" xfId="38788"/>
    <cellStyle name="Note 76 6" xfId="12519"/>
    <cellStyle name="Note 76 6 2" xfId="12520"/>
    <cellStyle name="Note 76 6 3" xfId="12521"/>
    <cellStyle name="Note 76 6 4" xfId="12522"/>
    <cellStyle name="Note 76 6 5" xfId="12523"/>
    <cellStyle name="Note 76 6 6" xfId="38789"/>
    <cellStyle name="Note 76 6 7" xfId="38790"/>
    <cellStyle name="Note 76 6 8" xfId="38791"/>
    <cellStyle name="Note 76 7" xfId="12524"/>
    <cellStyle name="Note 76 7 2" xfId="12525"/>
    <cellStyle name="Note 76 7 3" xfId="12526"/>
    <cellStyle name="Note 76 7 4" xfId="12527"/>
    <cellStyle name="Note 76 7 5" xfId="12528"/>
    <cellStyle name="Note 76 7 6" xfId="38792"/>
    <cellStyle name="Note 76 7 7" xfId="38793"/>
    <cellStyle name="Note 76 7 8" xfId="38794"/>
    <cellStyle name="Note 76 8" xfId="12529"/>
    <cellStyle name="Note 76 9" xfId="12530"/>
    <cellStyle name="Note 77" xfId="12531"/>
    <cellStyle name="Note 77 10" xfId="12532"/>
    <cellStyle name="Note 77 11" xfId="12533"/>
    <cellStyle name="Note 77 12" xfId="38795"/>
    <cellStyle name="Note 77 13" xfId="38796"/>
    <cellStyle name="Note 77 14" xfId="38797"/>
    <cellStyle name="Note 77 2" xfId="12534"/>
    <cellStyle name="Note 77 2 10" xfId="12535"/>
    <cellStyle name="Note 77 2 11" xfId="38798"/>
    <cellStyle name="Note 77 2 12" xfId="38799"/>
    <cellStyle name="Note 77 2 13" xfId="38800"/>
    <cellStyle name="Note 77 2 2" xfId="12536"/>
    <cellStyle name="Note 77 2 2 2" xfId="12537"/>
    <cellStyle name="Note 77 2 2 3" xfId="12538"/>
    <cellStyle name="Note 77 2 2 4" xfId="12539"/>
    <cellStyle name="Note 77 2 2 5" xfId="12540"/>
    <cellStyle name="Note 77 2 2 6" xfId="38801"/>
    <cellStyle name="Note 77 2 2 7" xfId="38802"/>
    <cellStyle name="Note 77 2 2 8" xfId="38803"/>
    <cellStyle name="Note 77 2 3" xfId="12541"/>
    <cellStyle name="Note 77 2 3 2" xfId="12542"/>
    <cellStyle name="Note 77 2 3 3" xfId="12543"/>
    <cellStyle name="Note 77 2 3 4" xfId="12544"/>
    <cellStyle name="Note 77 2 3 5" xfId="12545"/>
    <cellStyle name="Note 77 2 3 6" xfId="38804"/>
    <cellStyle name="Note 77 2 3 7" xfId="38805"/>
    <cellStyle name="Note 77 2 3 8" xfId="38806"/>
    <cellStyle name="Note 77 2 4" xfId="12546"/>
    <cellStyle name="Note 77 2 4 2" xfId="12547"/>
    <cellStyle name="Note 77 2 4 3" xfId="12548"/>
    <cellStyle name="Note 77 2 4 4" xfId="12549"/>
    <cellStyle name="Note 77 2 4 5" xfId="12550"/>
    <cellStyle name="Note 77 2 4 6" xfId="38807"/>
    <cellStyle name="Note 77 2 4 7" xfId="38808"/>
    <cellStyle name="Note 77 2 4 8" xfId="38809"/>
    <cellStyle name="Note 77 2 5" xfId="12551"/>
    <cellStyle name="Note 77 2 5 2" xfId="12552"/>
    <cellStyle name="Note 77 2 5 3" xfId="12553"/>
    <cellStyle name="Note 77 2 5 4" xfId="12554"/>
    <cellStyle name="Note 77 2 5 5" xfId="12555"/>
    <cellStyle name="Note 77 2 5 6" xfId="38810"/>
    <cellStyle name="Note 77 2 5 7" xfId="38811"/>
    <cellStyle name="Note 77 2 5 8" xfId="38812"/>
    <cellStyle name="Note 77 2 6" xfId="12556"/>
    <cellStyle name="Note 77 2 6 2" xfId="12557"/>
    <cellStyle name="Note 77 2 6 3" xfId="12558"/>
    <cellStyle name="Note 77 2 6 4" xfId="12559"/>
    <cellStyle name="Note 77 2 6 5" xfId="12560"/>
    <cellStyle name="Note 77 2 6 6" xfId="38813"/>
    <cellStyle name="Note 77 2 6 7" xfId="38814"/>
    <cellStyle name="Note 77 2 6 8" xfId="38815"/>
    <cellStyle name="Note 77 2 7" xfId="12561"/>
    <cellStyle name="Note 77 2 8" xfId="12562"/>
    <cellStyle name="Note 77 2 9" xfId="12563"/>
    <cellStyle name="Note 77 3" xfId="12564"/>
    <cellStyle name="Note 77 3 2" xfId="12565"/>
    <cellStyle name="Note 77 3 3" xfId="12566"/>
    <cellStyle name="Note 77 3 4" xfId="12567"/>
    <cellStyle name="Note 77 3 5" xfId="12568"/>
    <cellStyle name="Note 77 3 6" xfId="38816"/>
    <cellStyle name="Note 77 3 7" xfId="38817"/>
    <cellStyle name="Note 77 3 8" xfId="38818"/>
    <cellStyle name="Note 77 4" xfId="12569"/>
    <cellStyle name="Note 77 4 2" xfId="12570"/>
    <cellStyle name="Note 77 4 3" xfId="12571"/>
    <cellStyle name="Note 77 4 4" xfId="12572"/>
    <cellStyle name="Note 77 4 5" xfId="12573"/>
    <cellStyle name="Note 77 4 6" xfId="38819"/>
    <cellStyle name="Note 77 4 7" xfId="38820"/>
    <cellStyle name="Note 77 4 8" xfId="38821"/>
    <cellStyle name="Note 77 5" xfId="12574"/>
    <cellStyle name="Note 77 5 2" xfId="12575"/>
    <cellStyle name="Note 77 5 3" xfId="12576"/>
    <cellStyle name="Note 77 5 4" xfId="12577"/>
    <cellStyle name="Note 77 5 5" xfId="12578"/>
    <cellStyle name="Note 77 5 6" xfId="38822"/>
    <cellStyle name="Note 77 5 7" xfId="38823"/>
    <cellStyle name="Note 77 5 8" xfId="38824"/>
    <cellStyle name="Note 77 6" xfId="12579"/>
    <cellStyle name="Note 77 6 2" xfId="12580"/>
    <cellStyle name="Note 77 6 3" xfId="12581"/>
    <cellStyle name="Note 77 6 4" xfId="12582"/>
    <cellStyle name="Note 77 6 5" xfId="12583"/>
    <cellStyle name="Note 77 6 6" xfId="38825"/>
    <cellStyle name="Note 77 6 7" xfId="38826"/>
    <cellStyle name="Note 77 6 8" xfId="38827"/>
    <cellStyle name="Note 77 7" xfId="12584"/>
    <cellStyle name="Note 77 7 2" xfId="12585"/>
    <cellStyle name="Note 77 7 3" xfId="12586"/>
    <cellStyle name="Note 77 7 4" xfId="12587"/>
    <cellStyle name="Note 77 7 5" xfId="12588"/>
    <cellStyle name="Note 77 7 6" xfId="38828"/>
    <cellStyle name="Note 77 7 7" xfId="38829"/>
    <cellStyle name="Note 77 7 8" xfId="38830"/>
    <cellStyle name="Note 77 8" xfId="12589"/>
    <cellStyle name="Note 77 9" xfId="12590"/>
    <cellStyle name="Note 78" xfId="12591"/>
    <cellStyle name="Note 78 10" xfId="12592"/>
    <cellStyle name="Note 78 11" xfId="12593"/>
    <cellStyle name="Note 78 12" xfId="38831"/>
    <cellStyle name="Note 78 13" xfId="38832"/>
    <cellStyle name="Note 78 14" xfId="38833"/>
    <cellStyle name="Note 78 2" xfId="12594"/>
    <cellStyle name="Note 78 2 10" xfId="12595"/>
    <cellStyle name="Note 78 2 11" xfId="38834"/>
    <cellStyle name="Note 78 2 12" xfId="38835"/>
    <cellStyle name="Note 78 2 13" xfId="38836"/>
    <cellStyle name="Note 78 2 2" xfId="12596"/>
    <cellStyle name="Note 78 2 2 2" xfId="12597"/>
    <cellStyle name="Note 78 2 2 3" xfId="12598"/>
    <cellStyle name="Note 78 2 2 4" xfId="12599"/>
    <cellStyle name="Note 78 2 2 5" xfId="12600"/>
    <cellStyle name="Note 78 2 2 6" xfId="38837"/>
    <cellStyle name="Note 78 2 2 7" xfId="38838"/>
    <cellStyle name="Note 78 2 2 8" xfId="38839"/>
    <cellStyle name="Note 78 2 3" xfId="12601"/>
    <cellStyle name="Note 78 2 3 2" xfId="12602"/>
    <cellStyle name="Note 78 2 3 3" xfId="12603"/>
    <cellStyle name="Note 78 2 3 4" xfId="12604"/>
    <cellStyle name="Note 78 2 3 5" xfId="12605"/>
    <cellStyle name="Note 78 2 3 6" xfId="38840"/>
    <cellStyle name="Note 78 2 3 7" xfId="38841"/>
    <cellStyle name="Note 78 2 3 8" xfId="38842"/>
    <cellStyle name="Note 78 2 4" xfId="12606"/>
    <cellStyle name="Note 78 2 4 2" xfId="12607"/>
    <cellStyle name="Note 78 2 4 3" xfId="12608"/>
    <cellStyle name="Note 78 2 4 4" xfId="12609"/>
    <cellStyle name="Note 78 2 4 5" xfId="12610"/>
    <cellStyle name="Note 78 2 4 6" xfId="38843"/>
    <cellStyle name="Note 78 2 4 7" xfId="38844"/>
    <cellStyle name="Note 78 2 4 8" xfId="38845"/>
    <cellStyle name="Note 78 2 5" xfId="12611"/>
    <cellStyle name="Note 78 2 5 2" xfId="12612"/>
    <cellStyle name="Note 78 2 5 3" xfId="12613"/>
    <cellStyle name="Note 78 2 5 4" xfId="12614"/>
    <cellStyle name="Note 78 2 5 5" xfId="12615"/>
    <cellStyle name="Note 78 2 5 6" xfId="38846"/>
    <cellStyle name="Note 78 2 5 7" xfId="38847"/>
    <cellStyle name="Note 78 2 5 8" xfId="38848"/>
    <cellStyle name="Note 78 2 6" xfId="12616"/>
    <cellStyle name="Note 78 2 6 2" xfId="12617"/>
    <cellStyle name="Note 78 2 6 3" xfId="12618"/>
    <cellStyle name="Note 78 2 6 4" xfId="12619"/>
    <cellStyle name="Note 78 2 6 5" xfId="12620"/>
    <cellStyle name="Note 78 2 6 6" xfId="38849"/>
    <cellStyle name="Note 78 2 6 7" xfId="38850"/>
    <cellStyle name="Note 78 2 6 8" xfId="38851"/>
    <cellStyle name="Note 78 2 7" xfId="12621"/>
    <cellStyle name="Note 78 2 8" xfId="12622"/>
    <cellStyle name="Note 78 2 9" xfId="12623"/>
    <cellStyle name="Note 78 3" xfId="12624"/>
    <cellStyle name="Note 78 3 2" xfId="12625"/>
    <cellStyle name="Note 78 3 3" xfId="12626"/>
    <cellStyle name="Note 78 3 4" xfId="12627"/>
    <cellStyle name="Note 78 3 5" xfId="12628"/>
    <cellStyle name="Note 78 3 6" xfId="38852"/>
    <cellStyle name="Note 78 3 7" xfId="38853"/>
    <cellStyle name="Note 78 3 8" xfId="38854"/>
    <cellStyle name="Note 78 4" xfId="12629"/>
    <cellStyle name="Note 78 4 2" xfId="12630"/>
    <cellStyle name="Note 78 4 3" xfId="12631"/>
    <cellStyle name="Note 78 4 4" xfId="12632"/>
    <cellStyle name="Note 78 4 5" xfId="12633"/>
    <cellStyle name="Note 78 4 6" xfId="38855"/>
    <cellStyle name="Note 78 4 7" xfId="38856"/>
    <cellStyle name="Note 78 4 8" xfId="38857"/>
    <cellStyle name="Note 78 5" xfId="12634"/>
    <cellStyle name="Note 78 5 2" xfId="12635"/>
    <cellStyle name="Note 78 5 3" xfId="12636"/>
    <cellStyle name="Note 78 5 4" xfId="12637"/>
    <cellStyle name="Note 78 5 5" xfId="12638"/>
    <cellStyle name="Note 78 5 6" xfId="38858"/>
    <cellStyle name="Note 78 5 7" xfId="38859"/>
    <cellStyle name="Note 78 5 8" xfId="38860"/>
    <cellStyle name="Note 78 6" xfId="12639"/>
    <cellStyle name="Note 78 6 2" xfId="12640"/>
    <cellStyle name="Note 78 6 3" xfId="12641"/>
    <cellStyle name="Note 78 6 4" xfId="12642"/>
    <cellStyle name="Note 78 6 5" xfId="12643"/>
    <cellStyle name="Note 78 6 6" xfId="38861"/>
    <cellStyle name="Note 78 6 7" xfId="38862"/>
    <cellStyle name="Note 78 6 8" xfId="38863"/>
    <cellStyle name="Note 78 7" xfId="12644"/>
    <cellStyle name="Note 78 7 2" xfId="12645"/>
    <cellStyle name="Note 78 7 3" xfId="12646"/>
    <cellStyle name="Note 78 7 4" xfId="12647"/>
    <cellStyle name="Note 78 7 5" xfId="12648"/>
    <cellStyle name="Note 78 7 6" xfId="38864"/>
    <cellStyle name="Note 78 7 7" xfId="38865"/>
    <cellStyle name="Note 78 7 8" xfId="38866"/>
    <cellStyle name="Note 78 8" xfId="12649"/>
    <cellStyle name="Note 78 9" xfId="12650"/>
    <cellStyle name="Note 79" xfId="12651"/>
    <cellStyle name="Note 79 10" xfId="12652"/>
    <cellStyle name="Note 79 11" xfId="12653"/>
    <cellStyle name="Note 79 12" xfId="38867"/>
    <cellStyle name="Note 79 13" xfId="38868"/>
    <cellStyle name="Note 79 14" xfId="38869"/>
    <cellStyle name="Note 79 2" xfId="12654"/>
    <cellStyle name="Note 79 2 10" xfId="12655"/>
    <cellStyle name="Note 79 2 11" xfId="38870"/>
    <cellStyle name="Note 79 2 12" xfId="38871"/>
    <cellStyle name="Note 79 2 13" xfId="38872"/>
    <cellStyle name="Note 79 2 2" xfId="12656"/>
    <cellStyle name="Note 79 2 2 2" xfId="12657"/>
    <cellStyle name="Note 79 2 2 3" xfId="12658"/>
    <cellStyle name="Note 79 2 2 4" xfId="12659"/>
    <cellStyle name="Note 79 2 2 5" xfId="12660"/>
    <cellStyle name="Note 79 2 2 6" xfId="38873"/>
    <cellStyle name="Note 79 2 2 7" xfId="38874"/>
    <cellStyle name="Note 79 2 2 8" xfId="38875"/>
    <cellStyle name="Note 79 2 3" xfId="12661"/>
    <cellStyle name="Note 79 2 3 2" xfId="12662"/>
    <cellStyle name="Note 79 2 3 3" xfId="12663"/>
    <cellStyle name="Note 79 2 3 4" xfId="12664"/>
    <cellStyle name="Note 79 2 3 5" xfId="12665"/>
    <cellStyle name="Note 79 2 3 6" xfId="38876"/>
    <cellStyle name="Note 79 2 3 7" xfId="38877"/>
    <cellStyle name="Note 79 2 3 8" xfId="38878"/>
    <cellStyle name="Note 79 2 4" xfId="12666"/>
    <cellStyle name="Note 79 2 4 2" xfId="12667"/>
    <cellStyle name="Note 79 2 4 3" xfId="12668"/>
    <cellStyle name="Note 79 2 4 4" xfId="12669"/>
    <cellStyle name="Note 79 2 4 5" xfId="12670"/>
    <cellStyle name="Note 79 2 4 6" xfId="38879"/>
    <cellStyle name="Note 79 2 4 7" xfId="38880"/>
    <cellStyle name="Note 79 2 4 8" xfId="38881"/>
    <cellStyle name="Note 79 2 5" xfId="12671"/>
    <cellStyle name="Note 79 2 5 2" xfId="12672"/>
    <cellStyle name="Note 79 2 5 3" xfId="12673"/>
    <cellStyle name="Note 79 2 5 4" xfId="12674"/>
    <cellStyle name="Note 79 2 5 5" xfId="12675"/>
    <cellStyle name="Note 79 2 5 6" xfId="38882"/>
    <cellStyle name="Note 79 2 5 7" xfId="38883"/>
    <cellStyle name="Note 79 2 5 8" xfId="38884"/>
    <cellStyle name="Note 79 2 6" xfId="12676"/>
    <cellStyle name="Note 79 2 6 2" xfId="12677"/>
    <cellStyle name="Note 79 2 6 3" xfId="12678"/>
    <cellStyle name="Note 79 2 6 4" xfId="12679"/>
    <cellStyle name="Note 79 2 6 5" xfId="12680"/>
    <cellStyle name="Note 79 2 6 6" xfId="38885"/>
    <cellStyle name="Note 79 2 6 7" xfId="38886"/>
    <cellStyle name="Note 79 2 6 8" xfId="38887"/>
    <cellStyle name="Note 79 2 7" xfId="12681"/>
    <cellStyle name="Note 79 2 8" xfId="12682"/>
    <cellStyle name="Note 79 2 9" xfId="12683"/>
    <cellStyle name="Note 79 3" xfId="12684"/>
    <cellStyle name="Note 79 3 2" xfId="12685"/>
    <cellStyle name="Note 79 3 3" xfId="12686"/>
    <cellStyle name="Note 79 3 4" xfId="12687"/>
    <cellStyle name="Note 79 3 5" xfId="12688"/>
    <cellStyle name="Note 79 3 6" xfId="38888"/>
    <cellStyle name="Note 79 3 7" xfId="38889"/>
    <cellStyle name="Note 79 3 8" xfId="38890"/>
    <cellStyle name="Note 79 4" xfId="12689"/>
    <cellStyle name="Note 79 4 2" xfId="12690"/>
    <cellStyle name="Note 79 4 3" xfId="12691"/>
    <cellStyle name="Note 79 4 4" xfId="12692"/>
    <cellStyle name="Note 79 4 5" xfId="12693"/>
    <cellStyle name="Note 79 4 6" xfId="38891"/>
    <cellStyle name="Note 79 4 7" xfId="38892"/>
    <cellStyle name="Note 79 4 8" xfId="38893"/>
    <cellStyle name="Note 79 5" xfId="12694"/>
    <cellStyle name="Note 79 5 2" xfId="12695"/>
    <cellStyle name="Note 79 5 3" xfId="12696"/>
    <cellStyle name="Note 79 5 4" xfId="12697"/>
    <cellStyle name="Note 79 5 5" xfId="12698"/>
    <cellStyle name="Note 79 5 6" xfId="38894"/>
    <cellStyle name="Note 79 5 7" xfId="38895"/>
    <cellStyle name="Note 79 5 8" xfId="38896"/>
    <cellStyle name="Note 79 6" xfId="12699"/>
    <cellStyle name="Note 79 6 2" xfId="12700"/>
    <cellStyle name="Note 79 6 3" xfId="12701"/>
    <cellStyle name="Note 79 6 4" xfId="12702"/>
    <cellStyle name="Note 79 6 5" xfId="12703"/>
    <cellStyle name="Note 79 6 6" xfId="38897"/>
    <cellStyle name="Note 79 6 7" xfId="38898"/>
    <cellStyle name="Note 79 6 8" xfId="38899"/>
    <cellStyle name="Note 79 7" xfId="12704"/>
    <cellStyle name="Note 79 7 2" xfId="12705"/>
    <cellStyle name="Note 79 7 3" xfId="12706"/>
    <cellStyle name="Note 79 7 4" xfId="12707"/>
    <cellStyle name="Note 79 7 5" xfId="12708"/>
    <cellStyle name="Note 79 7 6" xfId="38900"/>
    <cellStyle name="Note 79 7 7" xfId="38901"/>
    <cellStyle name="Note 79 7 8" xfId="38902"/>
    <cellStyle name="Note 79 8" xfId="12709"/>
    <cellStyle name="Note 79 9" xfId="12710"/>
    <cellStyle name="Note 8" xfId="12711"/>
    <cellStyle name="Note 8 10" xfId="12712"/>
    <cellStyle name="Note 8 10 2" xfId="12713"/>
    <cellStyle name="Note 8 10 3" xfId="12714"/>
    <cellStyle name="Note 8 10 4" xfId="12715"/>
    <cellStyle name="Note 8 10 5" xfId="12716"/>
    <cellStyle name="Note 8 10 6" xfId="38903"/>
    <cellStyle name="Note 8 10 7" xfId="38904"/>
    <cellStyle name="Note 8 10 8" xfId="38905"/>
    <cellStyle name="Note 8 11" xfId="12717"/>
    <cellStyle name="Note 8 11 2" xfId="12718"/>
    <cellStyle name="Note 8 11 3" xfId="12719"/>
    <cellStyle name="Note 8 11 4" xfId="12720"/>
    <cellStyle name="Note 8 11 5" xfId="12721"/>
    <cellStyle name="Note 8 11 6" xfId="38906"/>
    <cellStyle name="Note 8 11 7" xfId="38907"/>
    <cellStyle name="Note 8 11 8" xfId="38908"/>
    <cellStyle name="Note 8 12" xfId="12722"/>
    <cellStyle name="Note 8 12 2" xfId="12723"/>
    <cellStyle name="Note 8 12 3" xfId="12724"/>
    <cellStyle name="Note 8 12 4" xfId="12725"/>
    <cellStyle name="Note 8 12 5" xfId="12726"/>
    <cellStyle name="Note 8 12 6" xfId="38909"/>
    <cellStyle name="Note 8 12 7" xfId="38910"/>
    <cellStyle name="Note 8 12 8" xfId="38911"/>
    <cellStyle name="Note 8 13" xfId="12727"/>
    <cellStyle name="Note 8 13 2" xfId="12728"/>
    <cellStyle name="Note 8 13 3" xfId="12729"/>
    <cellStyle name="Note 8 13 4" xfId="12730"/>
    <cellStyle name="Note 8 13 5" xfId="12731"/>
    <cellStyle name="Note 8 13 6" xfId="38912"/>
    <cellStyle name="Note 8 13 7" xfId="38913"/>
    <cellStyle name="Note 8 13 8" xfId="38914"/>
    <cellStyle name="Note 8 14" xfId="12732"/>
    <cellStyle name="Note 8 14 2" xfId="12733"/>
    <cellStyle name="Note 8 14 3" xfId="12734"/>
    <cellStyle name="Note 8 14 4" xfId="12735"/>
    <cellStyle name="Note 8 14 5" xfId="12736"/>
    <cellStyle name="Note 8 14 6" xfId="38915"/>
    <cellStyle name="Note 8 14 7" xfId="38916"/>
    <cellStyle name="Note 8 14 8" xfId="38917"/>
    <cellStyle name="Note 8 15" xfId="12737"/>
    <cellStyle name="Note 8 16" xfId="12738"/>
    <cellStyle name="Note 8 17" xfId="12739"/>
    <cellStyle name="Note 8 18" xfId="12740"/>
    <cellStyle name="Note 8 19" xfId="38918"/>
    <cellStyle name="Note 8 2" xfId="12741"/>
    <cellStyle name="Note 8 2 10" xfId="12742"/>
    <cellStyle name="Note 8 2 11" xfId="38919"/>
    <cellStyle name="Note 8 2 12" xfId="38920"/>
    <cellStyle name="Note 8 2 13" xfId="38921"/>
    <cellStyle name="Note 8 2 2" xfId="12743"/>
    <cellStyle name="Note 8 2 2 2" xfId="12744"/>
    <cellStyle name="Note 8 2 2 3" xfId="12745"/>
    <cellStyle name="Note 8 2 2 4" xfId="12746"/>
    <cellStyle name="Note 8 2 2 5" xfId="12747"/>
    <cellStyle name="Note 8 2 2 6" xfId="38922"/>
    <cellStyle name="Note 8 2 2 7" xfId="38923"/>
    <cellStyle name="Note 8 2 2 8" xfId="38924"/>
    <cellStyle name="Note 8 2 3" xfId="12748"/>
    <cellStyle name="Note 8 2 3 2" xfId="12749"/>
    <cellStyle name="Note 8 2 3 3" xfId="12750"/>
    <cellStyle name="Note 8 2 3 4" xfId="12751"/>
    <cellStyle name="Note 8 2 3 5" xfId="12752"/>
    <cellStyle name="Note 8 2 3 6" xfId="38925"/>
    <cellStyle name="Note 8 2 3 7" xfId="38926"/>
    <cellStyle name="Note 8 2 3 8" xfId="38927"/>
    <cellStyle name="Note 8 2 4" xfId="12753"/>
    <cellStyle name="Note 8 2 4 2" xfId="12754"/>
    <cellStyle name="Note 8 2 4 3" xfId="12755"/>
    <cellStyle name="Note 8 2 4 4" xfId="12756"/>
    <cellStyle name="Note 8 2 4 5" xfId="12757"/>
    <cellStyle name="Note 8 2 4 6" xfId="38928"/>
    <cellStyle name="Note 8 2 4 7" xfId="38929"/>
    <cellStyle name="Note 8 2 4 8" xfId="38930"/>
    <cellStyle name="Note 8 2 5" xfId="12758"/>
    <cellStyle name="Note 8 2 5 2" xfId="12759"/>
    <cellStyle name="Note 8 2 5 3" xfId="12760"/>
    <cellStyle name="Note 8 2 5 4" xfId="12761"/>
    <cellStyle name="Note 8 2 5 5" xfId="12762"/>
    <cellStyle name="Note 8 2 5 6" xfId="38931"/>
    <cellStyle name="Note 8 2 5 7" xfId="38932"/>
    <cellStyle name="Note 8 2 5 8" xfId="38933"/>
    <cellStyle name="Note 8 2 6" xfId="12763"/>
    <cellStyle name="Note 8 2 6 2" xfId="12764"/>
    <cellStyle name="Note 8 2 6 3" xfId="12765"/>
    <cellStyle name="Note 8 2 6 4" xfId="12766"/>
    <cellStyle name="Note 8 2 6 5" xfId="12767"/>
    <cellStyle name="Note 8 2 6 6" xfId="38934"/>
    <cellStyle name="Note 8 2 6 7" xfId="38935"/>
    <cellStyle name="Note 8 2 6 8" xfId="38936"/>
    <cellStyle name="Note 8 2 7" xfId="12768"/>
    <cellStyle name="Note 8 2 8" xfId="12769"/>
    <cellStyle name="Note 8 2 9" xfId="12770"/>
    <cellStyle name="Note 8 20" xfId="38937"/>
    <cellStyle name="Note 8 21" xfId="38938"/>
    <cellStyle name="Note 8 22" xfId="38939"/>
    <cellStyle name="Note 8 23" xfId="38940"/>
    <cellStyle name="Note 8 3" xfId="12771"/>
    <cellStyle name="Note 8 3 10" xfId="12772"/>
    <cellStyle name="Note 8 3 11" xfId="38941"/>
    <cellStyle name="Note 8 3 12" xfId="38942"/>
    <cellStyle name="Note 8 3 13" xfId="38943"/>
    <cellStyle name="Note 8 3 2" xfId="12773"/>
    <cellStyle name="Note 8 3 2 2" xfId="12774"/>
    <cellStyle name="Note 8 3 2 3" xfId="12775"/>
    <cellStyle name="Note 8 3 2 4" xfId="12776"/>
    <cellStyle name="Note 8 3 2 5" xfId="12777"/>
    <cellStyle name="Note 8 3 2 6" xfId="38944"/>
    <cellStyle name="Note 8 3 2 7" xfId="38945"/>
    <cellStyle name="Note 8 3 2 8" xfId="38946"/>
    <cellStyle name="Note 8 3 3" xfId="12778"/>
    <cellStyle name="Note 8 3 3 2" xfId="12779"/>
    <cellStyle name="Note 8 3 3 3" xfId="12780"/>
    <cellStyle name="Note 8 3 3 4" xfId="12781"/>
    <cellStyle name="Note 8 3 3 5" xfId="12782"/>
    <cellStyle name="Note 8 3 3 6" xfId="38947"/>
    <cellStyle name="Note 8 3 3 7" xfId="38948"/>
    <cellStyle name="Note 8 3 3 8" xfId="38949"/>
    <cellStyle name="Note 8 3 4" xfId="12783"/>
    <cellStyle name="Note 8 3 4 2" xfId="12784"/>
    <cellStyle name="Note 8 3 4 3" xfId="12785"/>
    <cellStyle name="Note 8 3 4 4" xfId="12786"/>
    <cellStyle name="Note 8 3 4 5" xfId="12787"/>
    <cellStyle name="Note 8 3 4 6" xfId="38950"/>
    <cellStyle name="Note 8 3 4 7" xfId="38951"/>
    <cellStyle name="Note 8 3 4 8" xfId="38952"/>
    <cellStyle name="Note 8 3 5" xfId="12788"/>
    <cellStyle name="Note 8 3 5 2" xfId="12789"/>
    <cellStyle name="Note 8 3 5 3" xfId="12790"/>
    <cellStyle name="Note 8 3 5 4" xfId="12791"/>
    <cellStyle name="Note 8 3 5 5" xfId="12792"/>
    <cellStyle name="Note 8 3 5 6" xfId="38953"/>
    <cellStyle name="Note 8 3 5 7" xfId="38954"/>
    <cellStyle name="Note 8 3 5 8" xfId="38955"/>
    <cellStyle name="Note 8 3 6" xfId="12793"/>
    <cellStyle name="Note 8 3 6 2" xfId="12794"/>
    <cellStyle name="Note 8 3 6 3" xfId="12795"/>
    <cellStyle name="Note 8 3 6 4" xfId="12796"/>
    <cellStyle name="Note 8 3 6 5" xfId="12797"/>
    <cellStyle name="Note 8 3 6 6" xfId="38956"/>
    <cellStyle name="Note 8 3 6 7" xfId="38957"/>
    <cellStyle name="Note 8 3 6 8" xfId="38958"/>
    <cellStyle name="Note 8 3 7" xfId="12798"/>
    <cellStyle name="Note 8 3 8" xfId="12799"/>
    <cellStyle name="Note 8 3 9" xfId="12800"/>
    <cellStyle name="Note 8 4" xfId="12801"/>
    <cellStyle name="Note 8 4 10" xfId="12802"/>
    <cellStyle name="Note 8 4 11" xfId="38959"/>
    <cellStyle name="Note 8 4 12" xfId="38960"/>
    <cellStyle name="Note 8 4 13" xfId="38961"/>
    <cellStyle name="Note 8 4 2" xfId="12803"/>
    <cellStyle name="Note 8 4 2 2" xfId="12804"/>
    <cellStyle name="Note 8 4 2 3" xfId="12805"/>
    <cellStyle name="Note 8 4 2 4" xfId="12806"/>
    <cellStyle name="Note 8 4 2 5" xfId="12807"/>
    <cellStyle name="Note 8 4 2 6" xfId="38962"/>
    <cellStyle name="Note 8 4 2 7" xfId="38963"/>
    <cellStyle name="Note 8 4 2 8" xfId="38964"/>
    <cellStyle name="Note 8 4 3" xfId="12808"/>
    <cellStyle name="Note 8 4 3 2" xfId="12809"/>
    <cellStyle name="Note 8 4 3 3" xfId="12810"/>
    <cellStyle name="Note 8 4 3 4" xfId="12811"/>
    <cellStyle name="Note 8 4 3 5" xfId="12812"/>
    <cellStyle name="Note 8 4 3 6" xfId="38965"/>
    <cellStyle name="Note 8 4 3 7" xfId="38966"/>
    <cellStyle name="Note 8 4 3 8" xfId="38967"/>
    <cellStyle name="Note 8 4 4" xfId="12813"/>
    <cellStyle name="Note 8 4 4 2" xfId="12814"/>
    <cellStyle name="Note 8 4 4 3" xfId="12815"/>
    <cellStyle name="Note 8 4 4 4" xfId="12816"/>
    <cellStyle name="Note 8 4 4 5" xfId="12817"/>
    <cellStyle name="Note 8 4 4 6" xfId="38968"/>
    <cellStyle name="Note 8 4 4 7" xfId="38969"/>
    <cellStyle name="Note 8 4 4 8" xfId="38970"/>
    <cellStyle name="Note 8 4 5" xfId="12818"/>
    <cellStyle name="Note 8 4 5 2" xfId="12819"/>
    <cellStyle name="Note 8 4 5 3" xfId="12820"/>
    <cellStyle name="Note 8 4 5 4" xfId="12821"/>
    <cellStyle name="Note 8 4 5 5" xfId="12822"/>
    <cellStyle name="Note 8 4 5 6" xfId="38971"/>
    <cellStyle name="Note 8 4 5 7" xfId="38972"/>
    <cellStyle name="Note 8 4 5 8" xfId="38973"/>
    <cellStyle name="Note 8 4 6" xfId="12823"/>
    <cellStyle name="Note 8 4 6 2" xfId="12824"/>
    <cellStyle name="Note 8 4 6 3" xfId="12825"/>
    <cellStyle name="Note 8 4 6 4" xfId="12826"/>
    <cellStyle name="Note 8 4 6 5" xfId="12827"/>
    <cellStyle name="Note 8 4 6 6" xfId="38974"/>
    <cellStyle name="Note 8 4 6 7" xfId="38975"/>
    <cellStyle name="Note 8 4 6 8" xfId="38976"/>
    <cellStyle name="Note 8 4 7" xfId="12828"/>
    <cellStyle name="Note 8 4 8" xfId="12829"/>
    <cellStyle name="Note 8 4 9" xfId="12830"/>
    <cellStyle name="Note 8 5" xfId="12831"/>
    <cellStyle name="Note 8 5 10" xfId="12832"/>
    <cellStyle name="Note 8 5 11" xfId="38977"/>
    <cellStyle name="Note 8 5 12" xfId="38978"/>
    <cellStyle name="Note 8 5 13" xfId="38979"/>
    <cellStyle name="Note 8 5 2" xfId="12833"/>
    <cellStyle name="Note 8 5 2 2" xfId="12834"/>
    <cellStyle name="Note 8 5 2 3" xfId="12835"/>
    <cellStyle name="Note 8 5 2 4" xfId="12836"/>
    <cellStyle name="Note 8 5 2 5" xfId="12837"/>
    <cellStyle name="Note 8 5 2 6" xfId="38980"/>
    <cellStyle name="Note 8 5 2 7" xfId="38981"/>
    <cellStyle name="Note 8 5 2 8" xfId="38982"/>
    <cellStyle name="Note 8 5 3" xfId="12838"/>
    <cellStyle name="Note 8 5 3 2" xfId="12839"/>
    <cellStyle name="Note 8 5 3 3" xfId="12840"/>
    <cellStyle name="Note 8 5 3 4" xfId="12841"/>
    <cellStyle name="Note 8 5 3 5" xfId="12842"/>
    <cellStyle name="Note 8 5 3 6" xfId="38983"/>
    <cellStyle name="Note 8 5 3 7" xfId="38984"/>
    <cellStyle name="Note 8 5 3 8" xfId="38985"/>
    <cellStyle name="Note 8 5 4" xfId="12843"/>
    <cellStyle name="Note 8 5 4 2" xfId="12844"/>
    <cellStyle name="Note 8 5 4 3" xfId="12845"/>
    <cellStyle name="Note 8 5 4 4" xfId="12846"/>
    <cellStyle name="Note 8 5 4 5" xfId="12847"/>
    <cellStyle name="Note 8 5 4 6" xfId="38986"/>
    <cellStyle name="Note 8 5 4 7" xfId="38987"/>
    <cellStyle name="Note 8 5 4 8" xfId="38988"/>
    <cellStyle name="Note 8 5 5" xfId="12848"/>
    <cellStyle name="Note 8 5 5 2" xfId="12849"/>
    <cellStyle name="Note 8 5 5 3" xfId="12850"/>
    <cellStyle name="Note 8 5 5 4" xfId="12851"/>
    <cellStyle name="Note 8 5 5 5" xfId="12852"/>
    <cellStyle name="Note 8 5 5 6" xfId="38989"/>
    <cellStyle name="Note 8 5 5 7" xfId="38990"/>
    <cellStyle name="Note 8 5 5 8" xfId="38991"/>
    <cellStyle name="Note 8 5 6" xfId="12853"/>
    <cellStyle name="Note 8 5 6 2" xfId="12854"/>
    <cellStyle name="Note 8 5 6 3" xfId="12855"/>
    <cellStyle name="Note 8 5 6 4" xfId="12856"/>
    <cellStyle name="Note 8 5 6 5" xfId="12857"/>
    <cellStyle name="Note 8 5 6 6" xfId="38992"/>
    <cellStyle name="Note 8 5 6 7" xfId="38993"/>
    <cellStyle name="Note 8 5 6 8" xfId="38994"/>
    <cellStyle name="Note 8 5 7" xfId="12858"/>
    <cellStyle name="Note 8 5 8" xfId="12859"/>
    <cellStyle name="Note 8 5 9" xfId="12860"/>
    <cellStyle name="Note 8 6" xfId="12861"/>
    <cellStyle name="Note 8 6 10" xfId="12862"/>
    <cellStyle name="Note 8 6 11" xfId="38995"/>
    <cellStyle name="Note 8 6 12" xfId="38996"/>
    <cellStyle name="Note 8 6 13" xfId="38997"/>
    <cellStyle name="Note 8 6 2" xfId="12863"/>
    <cellStyle name="Note 8 6 2 2" xfId="12864"/>
    <cellStyle name="Note 8 6 2 3" xfId="12865"/>
    <cellStyle name="Note 8 6 2 4" xfId="12866"/>
    <cellStyle name="Note 8 6 2 5" xfId="12867"/>
    <cellStyle name="Note 8 6 2 6" xfId="38998"/>
    <cellStyle name="Note 8 6 2 7" xfId="38999"/>
    <cellStyle name="Note 8 6 2 8" xfId="39000"/>
    <cellStyle name="Note 8 6 3" xfId="12868"/>
    <cellStyle name="Note 8 6 3 2" xfId="12869"/>
    <cellStyle name="Note 8 6 3 3" xfId="12870"/>
    <cellStyle name="Note 8 6 3 4" xfId="12871"/>
    <cellStyle name="Note 8 6 3 5" xfId="12872"/>
    <cellStyle name="Note 8 6 3 6" xfId="39001"/>
    <cellStyle name="Note 8 6 3 7" xfId="39002"/>
    <cellStyle name="Note 8 6 3 8" xfId="39003"/>
    <cellStyle name="Note 8 6 4" xfId="12873"/>
    <cellStyle name="Note 8 6 4 2" xfId="12874"/>
    <cellStyle name="Note 8 6 4 3" xfId="12875"/>
    <cellStyle name="Note 8 6 4 4" xfId="12876"/>
    <cellStyle name="Note 8 6 4 5" xfId="12877"/>
    <cellStyle name="Note 8 6 4 6" xfId="39004"/>
    <cellStyle name="Note 8 6 4 7" xfId="39005"/>
    <cellStyle name="Note 8 6 4 8" xfId="39006"/>
    <cellStyle name="Note 8 6 5" xfId="12878"/>
    <cellStyle name="Note 8 6 5 2" xfId="12879"/>
    <cellStyle name="Note 8 6 5 3" xfId="12880"/>
    <cellStyle name="Note 8 6 5 4" xfId="12881"/>
    <cellStyle name="Note 8 6 5 5" xfId="12882"/>
    <cellStyle name="Note 8 6 5 6" xfId="39007"/>
    <cellStyle name="Note 8 6 5 7" xfId="39008"/>
    <cellStyle name="Note 8 6 5 8" xfId="39009"/>
    <cellStyle name="Note 8 6 6" xfId="12883"/>
    <cellStyle name="Note 8 6 6 2" xfId="12884"/>
    <cellStyle name="Note 8 6 6 3" xfId="12885"/>
    <cellStyle name="Note 8 6 6 4" xfId="12886"/>
    <cellStyle name="Note 8 6 6 5" xfId="12887"/>
    <cellStyle name="Note 8 6 6 6" xfId="39010"/>
    <cellStyle name="Note 8 6 6 7" xfId="39011"/>
    <cellStyle name="Note 8 6 6 8" xfId="39012"/>
    <cellStyle name="Note 8 6 7" xfId="12888"/>
    <cellStyle name="Note 8 6 8" xfId="12889"/>
    <cellStyle name="Note 8 6 9" xfId="12890"/>
    <cellStyle name="Note 8 7" xfId="12891"/>
    <cellStyle name="Note 8 7 10" xfId="12892"/>
    <cellStyle name="Note 8 7 11" xfId="39013"/>
    <cellStyle name="Note 8 7 12" xfId="39014"/>
    <cellStyle name="Note 8 7 13" xfId="39015"/>
    <cellStyle name="Note 8 7 2" xfId="12893"/>
    <cellStyle name="Note 8 7 2 2" xfId="12894"/>
    <cellStyle name="Note 8 7 2 3" xfId="12895"/>
    <cellStyle name="Note 8 7 2 4" xfId="12896"/>
    <cellStyle name="Note 8 7 2 5" xfId="12897"/>
    <cellStyle name="Note 8 7 2 6" xfId="39016"/>
    <cellStyle name="Note 8 7 2 7" xfId="39017"/>
    <cellStyle name="Note 8 7 2 8" xfId="39018"/>
    <cellStyle name="Note 8 7 3" xfId="12898"/>
    <cellStyle name="Note 8 7 3 2" xfId="12899"/>
    <cellStyle name="Note 8 7 3 3" xfId="12900"/>
    <cellStyle name="Note 8 7 3 4" xfId="12901"/>
    <cellStyle name="Note 8 7 3 5" xfId="12902"/>
    <cellStyle name="Note 8 7 3 6" xfId="39019"/>
    <cellStyle name="Note 8 7 3 7" xfId="39020"/>
    <cellStyle name="Note 8 7 3 8" xfId="39021"/>
    <cellStyle name="Note 8 7 4" xfId="12903"/>
    <cellStyle name="Note 8 7 4 2" xfId="12904"/>
    <cellStyle name="Note 8 7 4 3" xfId="12905"/>
    <cellStyle name="Note 8 7 4 4" xfId="12906"/>
    <cellStyle name="Note 8 7 4 5" xfId="12907"/>
    <cellStyle name="Note 8 7 4 6" xfId="39022"/>
    <cellStyle name="Note 8 7 4 7" xfId="39023"/>
    <cellStyle name="Note 8 7 4 8" xfId="39024"/>
    <cellStyle name="Note 8 7 5" xfId="12908"/>
    <cellStyle name="Note 8 7 5 2" xfId="12909"/>
    <cellStyle name="Note 8 7 5 3" xfId="12910"/>
    <cellStyle name="Note 8 7 5 4" xfId="12911"/>
    <cellStyle name="Note 8 7 5 5" xfId="12912"/>
    <cellStyle name="Note 8 7 5 6" xfId="39025"/>
    <cellStyle name="Note 8 7 5 7" xfId="39026"/>
    <cellStyle name="Note 8 7 5 8" xfId="39027"/>
    <cellStyle name="Note 8 7 6" xfId="12913"/>
    <cellStyle name="Note 8 7 6 2" xfId="12914"/>
    <cellStyle name="Note 8 7 6 3" xfId="12915"/>
    <cellStyle name="Note 8 7 6 4" xfId="12916"/>
    <cellStyle name="Note 8 7 6 5" xfId="12917"/>
    <cellStyle name="Note 8 7 6 6" xfId="39028"/>
    <cellStyle name="Note 8 7 6 7" xfId="39029"/>
    <cellStyle name="Note 8 7 6 8" xfId="39030"/>
    <cellStyle name="Note 8 7 7" xfId="12918"/>
    <cellStyle name="Note 8 7 8" xfId="12919"/>
    <cellStyle name="Note 8 7 9" xfId="12920"/>
    <cellStyle name="Note 8 8" xfId="12921"/>
    <cellStyle name="Note 8 8 10" xfId="12922"/>
    <cellStyle name="Note 8 8 11" xfId="39031"/>
    <cellStyle name="Note 8 8 12" xfId="39032"/>
    <cellStyle name="Note 8 8 13" xfId="39033"/>
    <cellStyle name="Note 8 8 2" xfId="12923"/>
    <cellStyle name="Note 8 8 2 2" xfId="12924"/>
    <cellStyle name="Note 8 8 2 3" xfId="12925"/>
    <cellStyle name="Note 8 8 2 4" xfId="12926"/>
    <cellStyle name="Note 8 8 2 5" xfId="12927"/>
    <cellStyle name="Note 8 8 2 6" xfId="39034"/>
    <cellStyle name="Note 8 8 2 7" xfId="39035"/>
    <cellStyle name="Note 8 8 2 8" xfId="39036"/>
    <cellStyle name="Note 8 8 3" xfId="12928"/>
    <cellStyle name="Note 8 8 3 2" xfId="12929"/>
    <cellStyle name="Note 8 8 3 3" xfId="12930"/>
    <cellStyle name="Note 8 8 3 4" xfId="12931"/>
    <cellStyle name="Note 8 8 3 5" xfId="12932"/>
    <cellStyle name="Note 8 8 3 6" xfId="39037"/>
    <cellStyle name="Note 8 8 3 7" xfId="39038"/>
    <cellStyle name="Note 8 8 3 8" xfId="39039"/>
    <cellStyle name="Note 8 8 4" xfId="12933"/>
    <cellStyle name="Note 8 8 4 2" xfId="12934"/>
    <cellStyle name="Note 8 8 4 3" xfId="12935"/>
    <cellStyle name="Note 8 8 4 4" xfId="12936"/>
    <cellStyle name="Note 8 8 4 5" xfId="12937"/>
    <cellStyle name="Note 8 8 4 6" xfId="39040"/>
    <cellStyle name="Note 8 8 4 7" xfId="39041"/>
    <cellStyle name="Note 8 8 4 8" xfId="39042"/>
    <cellStyle name="Note 8 8 5" xfId="12938"/>
    <cellStyle name="Note 8 8 5 2" xfId="12939"/>
    <cellStyle name="Note 8 8 5 3" xfId="12940"/>
    <cellStyle name="Note 8 8 5 4" xfId="12941"/>
    <cellStyle name="Note 8 8 5 5" xfId="12942"/>
    <cellStyle name="Note 8 8 5 6" xfId="39043"/>
    <cellStyle name="Note 8 8 5 7" xfId="39044"/>
    <cellStyle name="Note 8 8 5 8" xfId="39045"/>
    <cellStyle name="Note 8 8 6" xfId="12943"/>
    <cellStyle name="Note 8 8 6 2" xfId="12944"/>
    <cellStyle name="Note 8 8 6 3" xfId="12945"/>
    <cellStyle name="Note 8 8 6 4" xfId="12946"/>
    <cellStyle name="Note 8 8 6 5" xfId="12947"/>
    <cellStyle name="Note 8 8 6 6" xfId="39046"/>
    <cellStyle name="Note 8 8 6 7" xfId="39047"/>
    <cellStyle name="Note 8 8 6 8" xfId="39048"/>
    <cellStyle name="Note 8 8 7" xfId="12948"/>
    <cellStyle name="Note 8 8 8" xfId="12949"/>
    <cellStyle name="Note 8 8 9" xfId="12950"/>
    <cellStyle name="Note 8 9" xfId="12951"/>
    <cellStyle name="Note 8 9 10" xfId="12952"/>
    <cellStyle name="Note 8 9 11" xfId="39049"/>
    <cellStyle name="Note 8 9 12" xfId="39050"/>
    <cellStyle name="Note 8 9 13" xfId="39051"/>
    <cellStyle name="Note 8 9 2" xfId="12953"/>
    <cellStyle name="Note 8 9 2 2" xfId="12954"/>
    <cellStyle name="Note 8 9 2 3" xfId="12955"/>
    <cellStyle name="Note 8 9 2 4" xfId="12956"/>
    <cellStyle name="Note 8 9 2 5" xfId="12957"/>
    <cellStyle name="Note 8 9 2 6" xfId="39052"/>
    <cellStyle name="Note 8 9 2 7" xfId="39053"/>
    <cellStyle name="Note 8 9 2 8" xfId="39054"/>
    <cellStyle name="Note 8 9 3" xfId="12958"/>
    <cellStyle name="Note 8 9 3 2" xfId="12959"/>
    <cellStyle name="Note 8 9 3 3" xfId="12960"/>
    <cellStyle name="Note 8 9 3 4" xfId="12961"/>
    <cellStyle name="Note 8 9 3 5" xfId="12962"/>
    <cellStyle name="Note 8 9 3 6" xfId="39055"/>
    <cellStyle name="Note 8 9 3 7" xfId="39056"/>
    <cellStyle name="Note 8 9 3 8" xfId="39057"/>
    <cellStyle name="Note 8 9 4" xfId="12963"/>
    <cellStyle name="Note 8 9 4 2" xfId="12964"/>
    <cellStyle name="Note 8 9 4 3" xfId="12965"/>
    <cellStyle name="Note 8 9 4 4" xfId="12966"/>
    <cellStyle name="Note 8 9 4 5" xfId="12967"/>
    <cellStyle name="Note 8 9 4 6" xfId="39058"/>
    <cellStyle name="Note 8 9 4 7" xfId="39059"/>
    <cellStyle name="Note 8 9 4 8" xfId="39060"/>
    <cellStyle name="Note 8 9 5" xfId="12968"/>
    <cellStyle name="Note 8 9 5 2" xfId="12969"/>
    <cellStyle name="Note 8 9 5 3" xfId="12970"/>
    <cellStyle name="Note 8 9 5 4" xfId="12971"/>
    <cellStyle name="Note 8 9 5 5" xfId="12972"/>
    <cellStyle name="Note 8 9 5 6" xfId="39061"/>
    <cellStyle name="Note 8 9 5 7" xfId="39062"/>
    <cellStyle name="Note 8 9 5 8" xfId="39063"/>
    <cellStyle name="Note 8 9 6" xfId="12973"/>
    <cellStyle name="Note 8 9 6 2" xfId="12974"/>
    <cellStyle name="Note 8 9 6 3" xfId="12975"/>
    <cellStyle name="Note 8 9 6 4" xfId="12976"/>
    <cellStyle name="Note 8 9 6 5" xfId="12977"/>
    <cellStyle name="Note 8 9 6 6" xfId="39064"/>
    <cellStyle name="Note 8 9 6 7" xfId="39065"/>
    <cellStyle name="Note 8 9 6 8" xfId="39066"/>
    <cellStyle name="Note 8 9 7" xfId="12978"/>
    <cellStyle name="Note 8 9 8" xfId="12979"/>
    <cellStyle name="Note 8 9 9" xfId="12980"/>
    <cellStyle name="Note 80" xfId="12981"/>
    <cellStyle name="Note 80 10" xfId="12982"/>
    <cellStyle name="Note 80 11" xfId="12983"/>
    <cellStyle name="Note 80 12" xfId="39067"/>
    <cellStyle name="Note 80 13" xfId="39068"/>
    <cellStyle name="Note 80 14" xfId="39069"/>
    <cellStyle name="Note 80 2" xfId="12984"/>
    <cellStyle name="Note 80 2 10" xfId="12985"/>
    <cellStyle name="Note 80 2 11" xfId="39070"/>
    <cellStyle name="Note 80 2 12" xfId="39071"/>
    <cellStyle name="Note 80 2 13" xfId="39072"/>
    <cellStyle name="Note 80 2 2" xfId="12986"/>
    <cellStyle name="Note 80 2 2 2" xfId="12987"/>
    <cellStyle name="Note 80 2 2 3" xfId="12988"/>
    <cellStyle name="Note 80 2 2 4" xfId="12989"/>
    <cellStyle name="Note 80 2 2 5" xfId="12990"/>
    <cellStyle name="Note 80 2 2 6" xfId="39073"/>
    <cellStyle name="Note 80 2 2 7" xfId="39074"/>
    <cellStyle name="Note 80 2 2 8" xfId="39075"/>
    <cellStyle name="Note 80 2 3" xfId="12991"/>
    <cellStyle name="Note 80 2 3 2" xfId="12992"/>
    <cellStyle name="Note 80 2 3 3" xfId="12993"/>
    <cellStyle name="Note 80 2 3 4" xfId="12994"/>
    <cellStyle name="Note 80 2 3 5" xfId="12995"/>
    <cellStyle name="Note 80 2 3 6" xfId="39076"/>
    <cellStyle name="Note 80 2 3 7" xfId="39077"/>
    <cellStyle name="Note 80 2 3 8" xfId="39078"/>
    <cellStyle name="Note 80 2 4" xfId="12996"/>
    <cellStyle name="Note 80 2 4 2" xfId="12997"/>
    <cellStyle name="Note 80 2 4 3" xfId="12998"/>
    <cellStyle name="Note 80 2 4 4" xfId="12999"/>
    <cellStyle name="Note 80 2 4 5" xfId="13000"/>
    <cellStyle name="Note 80 2 4 6" xfId="39079"/>
    <cellStyle name="Note 80 2 4 7" xfId="39080"/>
    <cellStyle name="Note 80 2 4 8" xfId="39081"/>
    <cellStyle name="Note 80 2 5" xfId="13001"/>
    <cellStyle name="Note 80 2 5 2" xfId="13002"/>
    <cellStyle name="Note 80 2 5 3" xfId="13003"/>
    <cellStyle name="Note 80 2 5 4" xfId="13004"/>
    <cellStyle name="Note 80 2 5 5" xfId="13005"/>
    <cellStyle name="Note 80 2 5 6" xfId="39082"/>
    <cellStyle name="Note 80 2 5 7" xfId="39083"/>
    <cellStyle name="Note 80 2 5 8" xfId="39084"/>
    <cellStyle name="Note 80 2 6" xfId="13006"/>
    <cellStyle name="Note 80 2 6 2" xfId="13007"/>
    <cellStyle name="Note 80 2 6 3" xfId="13008"/>
    <cellStyle name="Note 80 2 6 4" xfId="13009"/>
    <cellStyle name="Note 80 2 6 5" xfId="13010"/>
    <cellStyle name="Note 80 2 6 6" xfId="39085"/>
    <cellStyle name="Note 80 2 6 7" xfId="39086"/>
    <cellStyle name="Note 80 2 6 8" xfId="39087"/>
    <cellStyle name="Note 80 2 7" xfId="13011"/>
    <cellStyle name="Note 80 2 8" xfId="13012"/>
    <cellStyle name="Note 80 2 9" xfId="13013"/>
    <cellStyle name="Note 80 3" xfId="13014"/>
    <cellStyle name="Note 80 3 2" xfId="13015"/>
    <cellStyle name="Note 80 3 3" xfId="13016"/>
    <cellStyle name="Note 80 3 4" xfId="13017"/>
    <cellStyle name="Note 80 3 5" xfId="13018"/>
    <cellStyle name="Note 80 3 6" xfId="39088"/>
    <cellStyle name="Note 80 3 7" xfId="39089"/>
    <cellStyle name="Note 80 3 8" xfId="39090"/>
    <cellStyle name="Note 80 4" xfId="13019"/>
    <cellStyle name="Note 80 4 2" xfId="13020"/>
    <cellStyle name="Note 80 4 3" xfId="13021"/>
    <cellStyle name="Note 80 4 4" xfId="13022"/>
    <cellStyle name="Note 80 4 5" xfId="13023"/>
    <cellStyle name="Note 80 4 6" xfId="39091"/>
    <cellStyle name="Note 80 4 7" xfId="39092"/>
    <cellStyle name="Note 80 4 8" xfId="39093"/>
    <cellStyle name="Note 80 5" xfId="13024"/>
    <cellStyle name="Note 80 5 2" xfId="13025"/>
    <cellStyle name="Note 80 5 3" xfId="13026"/>
    <cellStyle name="Note 80 5 4" xfId="13027"/>
    <cellStyle name="Note 80 5 5" xfId="13028"/>
    <cellStyle name="Note 80 5 6" xfId="39094"/>
    <cellStyle name="Note 80 5 7" xfId="39095"/>
    <cellStyle name="Note 80 5 8" xfId="39096"/>
    <cellStyle name="Note 80 6" xfId="13029"/>
    <cellStyle name="Note 80 6 2" xfId="13030"/>
    <cellStyle name="Note 80 6 3" xfId="13031"/>
    <cellStyle name="Note 80 6 4" xfId="13032"/>
    <cellStyle name="Note 80 6 5" xfId="13033"/>
    <cellStyle name="Note 80 6 6" xfId="39097"/>
    <cellStyle name="Note 80 6 7" xfId="39098"/>
    <cellStyle name="Note 80 6 8" xfId="39099"/>
    <cellStyle name="Note 80 7" xfId="13034"/>
    <cellStyle name="Note 80 7 2" xfId="13035"/>
    <cellStyle name="Note 80 7 3" xfId="13036"/>
    <cellStyle name="Note 80 7 4" xfId="13037"/>
    <cellStyle name="Note 80 7 5" xfId="13038"/>
    <cellStyle name="Note 80 7 6" xfId="39100"/>
    <cellStyle name="Note 80 7 7" xfId="39101"/>
    <cellStyle name="Note 80 7 8" xfId="39102"/>
    <cellStyle name="Note 80 8" xfId="13039"/>
    <cellStyle name="Note 80 9" xfId="13040"/>
    <cellStyle name="Note 81" xfId="13041"/>
    <cellStyle name="Note 81 10" xfId="13042"/>
    <cellStyle name="Note 81 11" xfId="13043"/>
    <cellStyle name="Note 81 12" xfId="39103"/>
    <cellStyle name="Note 81 13" xfId="39104"/>
    <cellStyle name="Note 81 14" xfId="39105"/>
    <cellStyle name="Note 81 2" xfId="13044"/>
    <cellStyle name="Note 81 2 10" xfId="13045"/>
    <cellStyle name="Note 81 2 11" xfId="39106"/>
    <cellStyle name="Note 81 2 12" xfId="39107"/>
    <cellStyle name="Note 81 2 13" xfId="39108"/>
    <cellStyle name="Note 81 2 2" xfId="13046"/>
    <cellStyle name="Note 81 2 2 2" xfId="13047"/>
    <cellStyle name="Note 81 2 2 3" xfId="13048"/>
    <cellStyle name="Note 81 2 2 4" xfId="13049"/>
    <cellStyle name="Note 81 2 2 5" xfId="13050"/>
    <cellStyle name="Note 81 2 2 6" xfId="39109"/>
    <cellStyle name="Note 81 2 2 7" xfId="39110"/>
    <cellStyle name="Note 81 2 2 8" xfId="39111"/>
    <cellStyle name="Note 81 2 3" xfId="13051"/>
    <cellStyle name="Note 81 2 3 2" xfId="13052"/>
    <cellStyle name="Note 81 2 3 3" xfId="13053"/>
    <cellStyle name="Note 81 2 3 4" xfId="13054"/>
    <cellStyle name="Note 81 2 3 5" xfId="13055"/>
    <cellStyle name="Note 81 2 3 6" xfId="39112"/>
    <cellStyle name="Note 81 2 3 7" xfId="39113"/>
    <cellStyle name="Note 81 2 3 8" xfId="39114"/>
    <cellStyle name="Note 81 2 4" xfId="13056"/>
    <cellStyle name="Note 81 2 4 2" xfId="13057"/>
    <cellStyle name="Note 81 2 4 3" xfId="13058"/>
    <cellStyle name="Note 81 2 4 4" xfId="13059"/>
    <cellStyle name="Note 81 2 4 5" xfId="13060"/>
    <cellStyle name="Note 81 2 4 6" xfId="39115"/>
    <cellStyle name="Note 81 2 4 7" xfId="39116"/>
    <cellStyle name="Note 81 2 4 8" xfId="39117"/>
    <cellStyle name="Note 81 2 5" xfId="13061"/>
    <cellStyle name="Note 81 2 5 2" xfId="13062"/>
    <cellStyle name="Note 81 2 5 3" xfId="13063"/>
    <cellStyle name="Note 81 2 5 4" xfId="13064"/>
    <cellStyle name="Note 81 2 5 5" xfId="13065"/>
    <cellStyle name="Note 81 2 5 6" xfId="39118"/>
    <cellStyle name="Note 81 2 5 7" xfId="39119"/>
    <cellStyle name="Note 81 2 5 8" xfId="39120"/>
    <cellStyle name="Note 81 2 6" xfId="13066"/>
    <cellStyle name="Note 81 2 6 2" xfId="13067"/>
    <cellStyle name="Note 81 2 6 3" xfId="13068"/>
    <cellStyle name="Note 81 2 6 4" xfId="13069"/>
    <cellStyle name="Note 81 2 6 5" xfId="13070"/>
    <cellStyle name="Note 81 2 6 6" xfId="39121"/>
    <cellStyle name="Note 81 2 6 7" xfId="39122"/>
    <cellStyle name="Note 81 2 6 8" xfId="39123"/>
    <cellStyle name="Note 81 2 7" xfId="13071"/>
    <cellStyle name="Note 81 2 8" xfId="13072"/>
    <cellStyle name="Note 81 2 9" xfId="13073"/>
    <cellStyle name="Note 81 3" xfId="13074"/>
    <cellStyle name="Note 81 3 2" xfId="13075"/>
    <cellStyle name="Note 81 3 3" xfId="13076"/>
    <cellStyle name="Note 81 3 4" xfId="13077"/>
    <cellStyle name="Note 81 3 5" xfId="13078"/>
    <cellStyle name="Note 81 3 6" xfId="39124"/>
    <cellStyle name="Note 81 3 7" xfId="39125"/>
    <cellStyle name="Note 81 3 8" xfId="39126"/>
    <cellStyle name="Note 81 4" xfId="13079"/>
    <cellStyle name="Note 81 4 2" xfId="13080"/>
    <cellStyle name="Note 81 4 3" xfId="13081"/>
    <cellStyle name="Note 81 4 4" xfId="13082"/>
    <cellStyle name="Note 81 4 5" xfId="13083"/>
    <cellStyle name="Note 81 4 6" xfId="39127"/>
    <cellStyle name="Note 81 4 7" xfId="39128"/>
    <cellStyle name="Note 81 4 8" xfId="39129"/>
    <cellStyle name="Note 81 5" xfId="13084"/>
    <cellStyle name="Note 81 5 2" xfId="13085"/>
    <cellStyle name="Note 81 5 3" xfId="13086"/>
    <cellStyle name="Note 81 5 4" xfId="13087"/>
    <cellStyle name="Note 81 5 5" xfId="13088"/>
    <cellStyle name="Note 81 5 6" xfId="39130"/>
    <cellStyle name="Note 81 5 7" xfId="39131"/>
    <cellStyle name="Note 81 5 8" xfId="39132"/>
    <cellStyle name="Note 81 6" xfId="13089"/>
    <cellStyle name="Note 81 6 2" xfId="13090"/>
    <cellStyle name="Note 81 6 3" xfId="13091"/>
    <cellStyle name="Note 81 6 4" xfId="13092"/>
    <cellStyle name="Note 81 6 5" xfId="13093"/>
    <cellStyle name="Note 81 6 6" xfId="39133"/>
    <cellStyle name="Note 81 6 7" xfId="39134"/>
    <cellStyle name="Note 81 6 8" xfId="39135"/>
    <cellStyle name="Note 81 7" xfId="13094"/>
    <cellStyle name="Note 81 7 2" xfId="13095"/>
    <cellStyle name="Note 81 7 3" xfId="13096"/>
    <cellStyle name="Note 81 7 4" xfId="13097"/>
    <cellStyle name="Note 81 7 5" xfId="13098"/>
    <cellStyle name="Note 81 7 6" xfId="39136"/>
    <cellStyle name="Note 81 7 7" xfId="39137"/>
    <cellStyle name="Note 81 7 8" xfId="39138"/>
    <cellStyle name="Note 81 8" xfId="13099"/>
    <cellStyle name="Note 81 9" xfId="13100"/>
    <cellStyle name="Note 82" xfId="13101"/>
    <cellStyle name="Note 82 10" xfId="13102"/>
    <cellStyle name="Note 82 11" xfId="13103"/>
    <cellStyle name="Note 82 12" xfId="39139"/>
    <cellStyle name="Note 82 13" xfId="39140"/>
    <cellStyle name="Note 82 14" xfId="39141"/>
    <cellStyle name="Note 82 2" xfId="13104"/>
    <cellStyle name="Note 82 2 10" xfId="13105"/>
    <cellStyle name="Note 82 2 11" xfId="39142"/>
    <cellStyle name="Note 82 2 12" xfId="39143"/>
    <cellStyle name="Note 82 2 13" xfId="39144"/>
    <cellStyle name="Note 82 2 2" xfId="13106"/>
    <cellStyle name="Note 82 2 2 2" xfId="13107"/>
    <cellStyle name="Note 82 2 2 3" xfId="13108"/>
    <cellStyle name="Note 82 2 2 4" xfId="13109"/>
    <cellStyle name="Note 82 2 2 5" xfId="13110"/>
    <cellStyle name="Note 82 2 2 6" xfId="39145"/>
    <cellStyle name="Note 82 2 2 7" xfId="39146"/>
    <cellStyle name="Note 82 2 2 8" xfId="39147"/>
    <cellStyle name="Note 82 2 3" xfId="13111"/>
    <cellStyle name="Note 82 2 3 2" xfId="13112"/>
    <cellStyle name="Note 82 2 3 3" xfId="13113"/>
    <cellStyle name="Note 82 2 3 4" xfId="13114"/>
    <cellStyle name="Note 82 2 3 5" xfId="13115"/>
    <cellStyle name="Note 82 2 3 6" xfId="39148"/>
    <cellStyle name="Note 82 2 3 7" xfId="39149"/>
    <cellStyle name="Note 82 2 3 8" xfId="39150"/>
    <cellStyle name="Note 82 2 4" xfId="13116"/>
    <cellStyle name="Note 82 2 4 2" xfId="13117"/>
    <cellStyle name="Note 82 2 4 3" xfId="13118"/>
    <cellStyle name="Note 82 2 4 4" xfId="13119"/>
    <cellStyle name="Note 82 2 4 5" xfId="13120"/>
    <cellStyle name="Note 82 2 4 6" xfId="39151"/>
    <cellStyle name="Note 82 2 4 7" xfId="39152"/>
    <cellStyle name="Note 82 2 4 8" xfId="39153"/>
    <cellStyle name="Note 82 2 5" xfId="13121"/>
    <cellStyle name="Note 82 2 5 2" xfId="13122"/>
    <cellStyle name="Note 82 2 5 3" xfId="13123"/>
    <cellStyle name="Note 82 2 5 4" xfId="13124"/>
    <cellStyle name="Note 82 2 5 5" xfId="13125"/>
    <cellStyle name="Note 82 2 5 6" xfId="39154"/>
    <cellStyle name="Note 82 2 5 7" xfId="39155"/>
    <cellStyle name="Note 82 2 5 8" xfId="39156"/>
    <cellStyle name="Note 82 2 6" xfId="13126"/>
    <cellStyle name="Note 82 2 6 2" xfId="13127"/>
    <cellStyle name="Note 82 2 6 3" xfId="13128"/>
    <cellStyle name="Note 82 2 6 4" xfId="13129"/>
    <cellStyle name="Note 82 2 6 5" xfId="13130"/>
    <cellStyle name="Note 82 2 6 6" xfId="39157"/>
    <cellStyle name="Note 82 2 6 7" xfId="39158"/>
    <cellStyle name="Note 82 2 6 8" xfId="39159"/>
    <cellStyle name="Note 82 2 7" xfId="13131"/>
    <cellStyle name="Note 82 2 8" xfId="13132"/>
    <cellStyle name="Note 82 2 9" xfId="13133"/>
    <cellStyle name="Note 82 3" xfId="13134"/>
    <cellStyle name="Note 82 3 2" xfId="13135"/>
    <cellStyle name="Note 82 3 3" xfId="13136"/>
    <cellStyle name="Note 82 3 4" xfId="13137"/>
    <cellStyle name="Note 82 3 5" xfId="13138"/>
    <cellStyle name="Note 82 3 6" xfId="39160"/>
    <cellStyle name="Note 82 3 7" xfId="39161"/>
    <cellStyle name="Note 82 3 8" xfId="39162"/>
    <cellStyle name="Note 82 4" xfId="13139"/>
    <cellStyle name="Note 82 4 2" xfId="13140"/>
    <cellStyle name="Note 82 4 3" xfId="13141"/>
    <cellStyle name="Note 82 4 4" xfId="13142"/>
    <cellStyle name="Note 82 4 5" xfId="13143"/>
    <cellStyle name="Note 82 4 6" xfId="39163"/>
    <cellStyle name="Note 82 4 7" xfId="39164"/>
    <cellStyle name="Note 82 4 8" xfId="39165"/>
    <cellStyle name="Note 82 5" xfId="13144"/>
    <cellStyle name="Note 82 5 2" xfId="13145"/>
    <cellStyle name="Note 82 5 3" xfId="13146"/>
    <cellStyle name="Note 82 5 4" xfId="13147"/>
    <cellStyle name="Note 82 5 5" xfId="13148"/>
    <cellStyle name="Note 82 5 6" xfId="39166"/>
    <cellStyle name="Note 82 5 7" xfId="39167"/>
    <cellStyle name="Note 82 5 8" xfId="39168"/>
    <cellStyle name="Note 82 6" xfId="13149"/>
    <cellStyle name="Note 82 6 2" xfId="13150"/>
    <cellStyle name="Note 82 6 3" xfId="13151"/>
    <cellStyle name="Note 82 6 4" xfId="13152"/>
    <cellStyle name="Note 82 6 5" xfId="13153"/>
    <cellStyle name="Note 82 6 6" xfId="39169"/>
    <cellStyle name="Note 82 6 7" xfId="39170"/>
    <cellStyle name="Note 82 6 8" xfId="39171"/>
    <cellStyle name="Note 82 7" xfId="13154"/>
    <cellStyle name="Note 82 7 2" xfId="13155"/>
    <cellStyle name="Note 82 7 3" xfId="13156"/>
    <cellStyle name="Note 82 7 4" xfId="13157"/>
    <cellStyle name="Note 82 7 5" xfId="13158"/>
    <cellStyle name="Note 82 7 6" xfId="39172"/>
    <cellStyle name="Note 82 7 7" xfId="39173"/>
    <cellStyle name="Note 82 7 8" xfId="39174"/>
    <cellStyle name="Note 82 8" xfId="13159"/>
    <cellStyle name="Note 82 9" xfId="13160"/>
    <cellStyle name="Note 83" xfId="13161"/>
    <cellStyle name="Note 83 10" xfId="13162"/>
    <cellStyle name="Note 83 11" xfId="13163"/>
    <cellStyle name="Note 83 12" xfId="39175"/>
    <cellStyle name="Note 83 13" xfId="39176"/>
    <cellStyle name="Note 83 14" xfId="39177"/>
    <cellStyle name="Note 83 2" xfId="13164"/>
    <cellStyle name="Note 83 2 10" xfId="13165"/>
    <cellStyle name="Note 83 2 11" xfId="39178"/>
    <cellStyle name="Note 83 2 12" xfId="39179"/>
    <cellStyle name="Note 83 2 13" xfId="39180"/>
    <cellStyle name="Note 83 2 2" xfId="13166"/>
    <cellStyle name="Note 83 2 2 2" xfId="13167"/>
    <cellStyle name="Note 83 2 2 3" xfId="13168"/>
    <cellStyle name="Note 83 2 2 4" xfId="13169"/>
    <cellStyle name="Note 83 2 2 5" xfId="13170"/>
    <cellStyle name="Note 83 2 2 6" xfId="39181"/>
    <cellStyle name="Note 83 2 2 7" xfId="39182"/>
    <cellStyle name="Note 83 2 2 8" xfId="39183"/>
    <cellStyle name="Note 83 2 3" xfId="13171"/>
    <cellStyle name="Note 83 2 3 2" xfId="13172"/>
    <cellStyle name="Note 83 2 3 3" xfId="13173"/>
    <cellStyle name="Note 83 2 3 4" xfId="13174"/>
    <cellStyle name="Note 83 2 3 5" xfId="13175"/>
    <cellStyle name="Note 83 2 3 6" xfId="39184"/>
    <cellStyle name="Note 83 2 3 7" xfId="39185"/>
    <cellStyle name="Note 83 2 3 8" xfId="39186"/>
    <cellStyle name="Note 83 2 4" xfId="13176"/>
    <cellStyle name="Note 83 2 4 2" xfId="13177"/>
    <cellStyle name="Note 83 2 4 3" xfId="13178"/>
    <cellStyle name="Note 83 2 4 4" xfId="13179"/>
    <cellStyle name="Note 83 2 4 5" xfId="13180"/>
    <cellStyle name="Note 83 2 4 6" xfId="39187"/>
    <cellStyle name="Note 83 2 4 7" xfId="39188"/>
    <cellStyle name="Note 83 2 4 8" xfId="39189"/>
    <cellStyle name="Note 83 2 5" xfId="13181"/>
    <cellStyle name="Note 83 2 5 2" xfId="13182"/>
    <cellStyle name="Note 83 2 5 3" xfId="13183"/>
    <cellStyle name="Note 83 2 5 4" xfId="13184"/>
    <cellStyle name="Note 83 2 5 5" xfId="13185"/>
    <cellStyle name="Note 83 2 5 6" xfId="39190"/>
    <cellStyle name="Note 83 2 5 7" xfId="39191"/>
    <cellStyle name="Note 83 2 5 8" xfId="39192"/>
    <cellStyle name="Note 83 2 6" xfId="13186"/>
    <cellStyle name="Note 83 2 6 2" xfId="13187"/>
    <cellStyle name="Note 83 2 6 3" xfId="13188"/>
    <cellStyle name="Note 83 2 6 4" xfId="13189"/>
    <cellStyle name="Note 83 2 6 5" xfId="13190"/>
    <cellStyle name="Note 83 2 6 6" xfId="39193"/>
    <cellStyle name="Note 83 2 6 7" xfId="39194"/>
    <cellStyle name="Note 83 2 6 8" xfId="39195"/>
    <cellStyle name="Note 83 2 7" xfId="13191"/>
    <cellStyle name="Note 83 2 8" xfId="13192"/>
    <cellStyle name="Note 83 2 9" xfId="13193"/>
    <cellStyle name="Note 83 3" xfId="13194"/>
    <cellStyle name="Note 83 3 2" xfId="13195"/>
    <cellStyle name="Note 83 3 3" xfId="13196"/>
    <cellStyle name="Note 83 3 4" xfId="13197"/>
    <cellStyle name="Note 83 3 5" xfId="13198"/>
    <cellStyle name="Note 83 3 6" xfId="39196"/>
    <cellStyle name="Note 83 3 7" xfId="39197"/>
    <cellStyle name="Note 83 3 8" xfId="39198"/>
    <cellStyle name="Note 83 4" xfId="13199"/>
    <cellStyle name="Note 83 4 2" xfId="13200"/>
    <cellStyle name="Note 83 4 3" xfId="13201"/>
    <cellStyle name="Note 83 4 4" xfId="13202"/>
    <cellStyle name="Note 83 4 5" xfId="13203"/>
    <cellStyle name="Note 83 4 6" xfId="39199"/>
    <cellStyle name="Note 83 4 7" xfId="39200"/>
    <cellStyle name="Note 83 4 8" xfId="39201"/>
    <cellStyle name="Note 83 5" xfId="13204"/>
    <cellStyle name="Note 83 5 2" xfId="13205"/>
    <cellStyle name="Note 83 5 3" xfId="13206"/>
    <cellStyle name="Note 83 5 4" xfId="13207"/>
    <cellStyle name="Note 83 5 5" xfId="13208"/>
    <cellStyle name="Note 83 5 6" xfId="39202"/>
    <cellStyle name="Note 83 5 7" xfId="39203"/>
    <cellStyle name="Note 83 5 8" xfId="39204"/>
    <cellStyle name="Note 83 6" xfId="13209"/>
    <cellStyle name="Note 83 6 2" xfId="13210"/>
    <cellStyle name="Note 83 6 3" xfId="13211"/>
    <cellStyle name="Note 83 6 4" xfId="13212"/>
    <cellStyle name="Note 83 6 5" xfId="13213"/>
    <cellStyle name="Note 83 6 6" xfId="39205"/>
    <cellStyle name="Note 83 6 7" xfId="39206"/>
    <cellStyle name="Note 83 6 8" xfId="39207"/>
    <cellStyle name="Note 83 7" xfId="13214"/>
    <cellStyle name="Note 83 7 2" xfId="13215"/>
    <cellStyle name="Note 83 7 3" xfId="13216"/>
    <cellStyle name="Note 83 7 4" xfId="13217"/>
    <cellStyle name="Note 83 7 5" xfId="13218"/>
    <cellStyle name="Note 83 7 6" xfId="39208"/>
    <cellStyle name="Note 83 7 7" xfId="39209"/>
    <cellStyle name="Note 83 7 8" xfId="39210"/>
    <cellStyle name="Note 83 8" xfId="13219"/>
    <cellStyle name="Note 83 9" xfId="13220"/>
    <cellStyle name="Note 84" xfId="13221"/>
    <cellStyle name="Note 84 10" xfId="13222"/>
    <cellStyle name="Note 84 11" xfId="13223"/>
    <cellStyle name="Note 84 12" xfId="39211"/>
    <cellStyle name="Note 84 13" xfId="39212"/>
    <cellStyle name="Note 84 14" xfId="39213"/>
    <cellStyle name="Note 84 2" xfId="13224"/>
    <cellStyle name="Note 84 2 10" xfId="13225"/>
    <cellStyle name="Note 84 2 11" xfId="39214"/>
    <cellStyle name="Note 84 2 12" xfId="39215"/>
    <cellStyle name="Note 84 2 13" xfId="39216"/>
    <cellStyle name="Note 84 2 2" xfId="13226"/>
    <cellStyle name="Note 84 2 2 2" xfId="13227"/>
    <cellStyle name="Note 84 2 2 3" xfId="13228"/>
    <cellStyle name="Note 84 2 2 4" xfId="13229"/>
    <cellStyle name="Note 84 2 2 5" xfId="13230"/>
    <cellStyle name="Note 84 2 2 6" xfId="39217"/>
    <cellStyle name="Note 84 2 2 7" xfId="39218"/>
    <cellStyle name="Note 84 2 2 8" xfId="39219"/>
    <cellStyle name="Note 84 2 3" xfId="13231"/>
    <cellStyle name="Note 84 2 3 2" xfId="13232"/>
    <cellStyle name="Note 84 2 3 3" xfId="13233"/>
    <cellStyle name="Note 84 2 3 4" xfId="13234"/>
    <cellStyle name="Note 84 2 3 5" xfId="13235"/>
    <cellStyle name="Note 84 2 3 6" xfId="39220"/>
    <cellStyle name="Note 84 2 3 7" xfId="39221"/>
    <cellStyle name="Note 84 2 3 8" xfId="39222"/>
    <cellStyle name="Note 84 2 4" xfId="13236"/>
    <cellStyle name="Note 84 2 4 2" xfId="13237"/>
    <cellStyle name="Note 84 2 4 3" xfId="13238"/>
    <cellStyle name="Note 84 2 4 4" xfId="13239"/>
    <cellStyle name="Note 84 2 4 5" xfId="13240"/>
    <cellStyle name="Note 84 2 4 6" xfId="39223"/>
    <cellStyle name="Note 84 2 4 7" xfId="39224"/>
    <cellStyle name="Note 84 2 4 8" xfId="39225"/>
    <cellStyle name="Note 84 2 5" xfId="13241"/>
    <cellStyle name="Note 84 2 5 2" xfId="13242"/>
    <cellStyle name="Note 84 2 5 3" xfId="13243"/>
    <cellStyle name="Note 84 2 5 4" xfId="13244"/>
    <cellStyle name="Note 84 2 5 5" xfId="13245"/>
    <cellStyle name="Note 84 2 5 6" xfId="39226"/>
    <cellStyle name="Note 84 2 5 7" xfId="39227"/>
    <cellStyle name="Note 84 2 5 8" xfId="39228"/>
    <cellStyle name="Note 84 2 6" xfId="13246"/>
    <cellStyle name="Note 84 2 6 2" xfId="13247"/>
    <cellStyle name="Note 84 2 6 3" xfId="13248"/>
    <cellStyle name="Note 84 2 6 4" xfId="13249"/>
    <cellStyle name="Note 84 2 6 5" xfId="13250"/>
    <cellStyle name="Note 84 2 6 6" xfId="39229"/>
    <cellStyle name="Note 84 2 6 7" xfId="39230"/>
    <cellStyle name="Note 84 2 6 8" xfId="39231"/>
    <cellStyle name="Note 84 2 7" xfId="13251"/>
    <cellStyle name="Note 84 2 8" xfId="13252"/>
    <cellStyle name="Note 84 2 9" xfId="13253"/>
    <cellStyle name="Note 84 3" xfId="13254"/>
    <cellStyle name="Note 84 3 2" xfId="13255"/>
    <cellStyle name="Note 84 3 3" xfId="13256"/>
    <cellStyle name="Note 84 3 4" xfId="13257"/>
    <cellStyle name="Note 84 3 5" xfId="13258"/>
    <cellStyle name="Note 84 3 6" xfId="39232"/>
    <cellStyle name="Note 84 3 7" xfId="39233"/>
    <cellStyle name="Note 84 3 8" xfId="39234"/>
    <cellStyle name="Note 84 4" xfId="13259"/>
    <cellStyle name="Note 84 4 2" xfId="13260"/>
    <cellStyle name="Note 84 4 3" xfId="13261"/>
    <cellStyle name="Note 84 4 4" xfId="13262"/>
    <cellStyle name="Note 84 4 5" xfId="13263"/>
    <cellStyle name="Note 84 4 6" xfId="39235"/>
    <cellStyle name="Note 84 4 7" xfId="39236"/>
    <cellStyle name="Note 84 4 8" xfId="39237"/>
    <cellStyle name="Note 84 5" xfId="13264"/>
    <cellStyle name="Note 84 5 2" xfId="13265"/>
    <cellStyle name="Note 84 5 3" xfId="13266"/>
    <cellStyle name="Note 84 5 4" xfId="13267"/>
    <cellStyle name="Note 84 5 5" xfId="13268"/>
    <cellStyle name="Note 84 5 6" xfId="39238"/>
    <cellStyle name="Note 84 5 7" xfId="39239"/>
    <cellStyle name="Note 84 5 8" xfId="39240"/>
    <cellStyle name="Note 84 6" xfId="13269"/>
    <cellStyle name="Note 84 6 2" xfId="13270"/>
    <cellStyle name="Note 84 6 3" xfId="13271"/>
    <cellStyle name="Note 84 6 4" xfId="13272"/>
    <cellStyle name="Note 84 6 5" xfId="13273"/>
    <cellStyle name="Note 84 6 6" xfId="39241"/>
    <cellStyle name="Note 84 6 7" xfId="39242"/>
    <cellStyle name="Note 84 6 8" xfId="39243"/>
    <cellStyle name="Note 84 7" xfId="13274"/>
    <cellStyle name="Note 84 7 2" xfId="13275"/>
    <cellStyle name="Note 84 7 3" xfId="13276"/>
    <cellStyle name="Note 84 7 4" xfId="13277"/>
    <cellStyle name="Note 84 7 5" xfId="13278"/>
    <cellStyle name="Note 84 7 6" xfId="39244"/>
    <cellStyle name="Note 84 7 7" xfId="39245"/>
    <cellStyle name="Note 84 7 8" xfId="39246"/>
    <cellStyle name="Note 84 8" xfId="13279"/>
    <cellStyle name="Note 84 9" xfId="13280"/>
    <cellStyle name="Note 85" xfId="13281"/>
    <cellStyle name="Note 85 10" xfId="13282"/>
    <cellStyle name="Note 85 11" xfId="13283"/>
    <cellStyle name="Note 85 12" xfId="39247"/>
    <cellStyle name="Note 85 13" xfId="39248"/>
    <cellStyle name="Note 85 14" xfId="39249"/>
    <cellStyle name="Note 85 2" xfId="13284"/>
    <cellStyle name="Note 85 2 10" xfId="13285"/>
    <cellStyle name="Note 85 2 11" xfId="39250"/>
    <cellStyle name="Note 85 2 12" xfId="39251"/>
    <cellStyle name="Note 85 2 13" xfId="39252"/>
    <cellStyle name="Note 85 2 2" xfId="13286"/>
    <cellStyle name="Note 85 2 2 2" xfId="13287"/>
    <cellStyle name="Note 85 2 2 3" xfId="13288"/>
    <cellStyle name="Note 85 2 2 4" xfId="13289"/>
    <cellStyle name="Note 85 2 2 5" xfId="13290"/>
    <cellStyle name="Note 85 2 2 6" xfId="39253"/>
    <cellStyle name="Note 85 2 2 7" xfId="39254"/>
    <cellStyle name="Note 85 2 2 8" xfId="39255"/>
    <cellStyle name="Note 85 2 3" xfId="13291"/>
    <cellStyle name="Note 85 2 3 2" xfId="13292"/>
    <cellStyle name="Note 85 2 3 3" xfId="13293"/>
    <cellStyle name="Note 85 2 3 4" xfId="13294"/>
    <cellStyle name="Note 85 2 3 5" xfId="13295"/>
    <cellStyle name="Note 85 2 3 6" xfId="39256"/>
    <cellStyle name="Note 85 2 3 7" xfId="39257"/>
    <cellStyle name="Note 85 2 3 8" xfId="39258"/>
    <cellStyle name="Note 85 2 4" xfId="13296"/>
    <cellStyle name="Note 85 2 4 2" xfId="13297"/>
    <cellStyle name="Note 85 2 4 3" xfId="13298"/>
    <cellStyle name="Note 85 2 4 4" xfId="13299"/>
    <cellStyle name="Note 85 2 4 5" xfId="13300"/>
    <cellStyle name="Note 85 2 4 6" xfId="39259"/>
    <cellStyle name="Note 85 2 4 7" xfId="39260"/>
    <cellStyle name="Note 85 2 4 8" xfId="39261"/>
    <cellStyle name="Note 85 2 5" xfId="13301"/>
    <cellStyle name="Note 85 2 5 2" xfId="13302"/>
    <cellStyle name="Note 85 2 5 3" xfId="13303"/>
    <cellStyle name="Note 85 2 5 4" xfId="13304"/>
    <cellStyle name="Note 85 2 5 5" xfId="13305"/>
    <cellStyle name="Note 85 2 5 6" xfId="39262"/>
    <cellStyle name="Note 85 2 5 7" xfId="39263"/>
    <cellStyle name="Note 85 2 5 8" xfId="39264"/>
    <cellStyle name="Note 85 2 6" xfId="13306"/>
    <cellStyle name="Note 85 2 6 2" xfId="13307"/>
    <cellStyle name="Note 85 2 6 3" xfId="13308"/>
    <cellStyle name="Note 85 2 6 4" xfId="13309"/>
    <cellStyle name="Note 85 2 6 5" xfId="13310"/>
    <cellStyle name="Note 85 2 6 6" xfId="39265"/>
    <cellStyle name="Note 85 2 6 7" xfId="39266"/>
    <cellStyle name="Note 85 2 6 8" xfId="39267"/>
    <cellStyle name="Note 85 2 7" xfId="13311"/>
    <cellStyle name="Note 85 2 8" xfId="13312"/>
    <cellStyle name="Note 85 2 9" xfId="13313"/>
    <cellStyle name="Note 85 3" xfId="13314"/>
    <cellStyle name="Note 85 3 2" xfId="13315"/>
    <cellStyle name="Note 85 3 3" xfId="13316"/>
    <cellStyle name="Note 85 3 4" xfId="13317"/>
    <cellStyle name="Note 85 3 5" xfId="13318"/>
    <cellStyle name="Note 85 3 6" xfId="39268"/>
    <cellStyle name="Note 85 3 7" xfId="39269"/>
    <cellStyle name="Note 85 3 8" xfId="39270"/>
    <cellStyle name="Note 85 4" xfId="13319"/>
    <cellStyle name="Note 85 4 2" xfId="13320"/>
    <cellStyle name="Note 85 4 3" xfId="13321"/>
    <cellStyle name="Note 85 4 4" xfId="13322"/>
    <cellStyle name="Note 85 4 5" xfId="13323"/>
    <cellStyle name="Note 85 4 6" xfId="39271"/>
    <cellStyle name="Note 85 4 7" xfId="39272"/>
    <cellStyle name="Note 85 4 8" xfId="39273"/>
    <cellStyle name="Note 85 5" xfId="13324"/>
    <cellStyle name="Note 85 5 2" xfId="13325"/>
    <cellStyle name="Note 85 5 3" xfId="13326"/>
    <cellStyle name="Note 85 5 4" xfId="13327"/>
    <cellStyle name="Note 85 5 5" xfId="13328"/>
    <cellStyle name="Note 85 5 6" xfId="39274"/>
    <cellStyle name="Note 85 5 7" xfId="39275"/>
    <cellStyle name="Note 85 5 8" xfId="39276"/>
    <cellStyle name="Note 85 6" xfId="13329"/>
    <cellStyle name="Note 85 6 2" xfId="13330"/>
    <cellStyle name="Note 85 6 3" xfId="13331"/>
    <cellStyle name="Note 85 6 4" xfId="13332"/>
    <cellStyle name="Note 85 6 5" xfId="13333"/>
    <cellStyle name="Note 85 6 6" xfId="39277"/>
    <cellStyle name="Note 85 6 7" xfId="39278"/>
    <cellStyle name="Note 85 6 8" xfId="39279"/>
    <cellStyle name="Note 85 7" xfId="13334"/>
    <cellStyle name="Note 85 7 2" xfId="13335"/>
    <cellStyle name="Note 85 7 3" xfId="13336"/>
    <cellStyle name="Note 85 7 4" xfId="13337"/>
    <cellStyle name="Note 85 7 5" xfId="13338"/>
    <cellStyle name="Note 85 7 6" xfId="39280"/>
    <cellStyle name="Note 85 7 7" xfId="39281"/>
    <cellStyle name="Note 85 7 8" xfId="39282"/>
    <cellStyle name="Note 85 8" xfId="13339"/>
    <cellStyle name="Note 85 9" xfId="13340"/>
    <cellStyle name="Note 86" xfId="13341"/>
    <cellStyle name="Note 86 10" xfId="13342"/>
    <cellStyle name="Note 86 11" xfId="13343"/>
    <cellStyle name="Note 86 12" xfId="39283"/>
    <cellStyle name="Note 86 13" xfId="39284"/>
    <cellStyle name="Note 86 14" xfId="39285"/>
    <cellStyle name="Note 86 2" xfId="13344"/>
    <cellStyle name="Note 86 2 10" xfId="13345"/>
    <cellStyle name="Note 86 2 11" xfId="39286"/>
    <cellStyle name="Note 86 2 12" xfId="39287"/>
    <cellStyle name="Note 86 2 13" xfId="39288"/>
    <cellStyle name="Note 86 2 2" xfId="13346"/>
    <cellStyle name="Note 86 2 2 2" xfId="13347"/>
    <cellStyle name="Note 86 2 2 3" xfId="13348"/>
    <cellStyle name="Note 86 2 2 4" xfId="13349"/>
    <cellStyle name="Note 86 2 2 5" xfId="13350"/>
    <cellStyle name="Note 86 2 2 6" xfId="39289"/>
    <cellStyle name="Note 86 2 2 7" xfId="39290"/>
    <cellStyle name="Note 86 2 2 8" xfId="39291"/>
    <cellStyle name="Note 86 2 3" xfId="13351"/>
    <cellStyle name="Note 86 2 3 2" xfId="13352"/>
    <cellStyle name="Note 86 2 3 3" xfId="13353"/>
    <cellStyle name="Note 86 2 3 4" xfId="13354"/>
    <cellStyle name="Note 86 2 3 5" xfId="13355"/>
    <cellStyle name="Note 86 2 3 6" xfId="39292"/>
    <cellStyle name="Note 86 2 3 7" xfId="39293"/>
    <cellStyle name="Note 86 2 3 8" xfId="39294"/>
    <cellStyle name="Note 86 2 4" xfId="13356"/>
    <cellStyle name="Note 86 2 4 2" xfId="13357"/>
    <cellStyle name="Note 86 2 4 3" xfId="13358"/>
    <cellStyle name="Note 86 2 4 4" xfId="13359"/>
    <cellStyle name="Note 86 2 4 5" xfId="13360"/>
    <cellStyle name="Note 86 2 4 6" xfId="39295"/>
    <cellStyle name="Note 86 2 4 7" xfId="39296"/>
    <cellStyle name="Note 86 2 4 8" xfId="39297"/>
    <cellStyle name="Note 86 2 5" xfId="13361"/>
    <cellStyle name="Note 86 2 5 2" xfId="13362"/>
    <cellStyle name="Note 86 2 5 3" xfId="13363"/>
    <cellStyle name="Note 86 2 5 4" xfId="13364"/>
    <cellStyle name="Note 86 2 5 5" xfId="13365"/>
    <cellStyle name="Note 86 2 5 6" xfId="39298"/>
    <cellStyle name="Note 86 2 5 7" xfId="39299"/>
    <cellStyle name="Note 86 2 5 8" xfId="39300"/>
    <cellStyle name="Note 86 2 6" xfId="13366"/>
    <cellStyle name="Note 86 2 6 2" xfId="13367"/>
    <cellStyle name="Note 86 2 6 3" xfId="13368"/>
    <cellStyle name="Note 86 2 6 4" xfId="13369"/>
    <cellStyle name="Note 86 2 6 5" xfId="13370"/>
    <cellStyle name="Note 86 2 6 6" xfId="39301"/>
    <cellStyle name="Note 86 2 6 7" xfId="39302"/>
    <cellStyle name="Note 86 2 6 8" xfId="39303"/>
    <cellStyle name="Note 86 2 7" xfId="13371"/>
    <cellStyle name="Note 86 2 8" xfId="13372"/>
    <cellStyle name="Note 86 2 9" xfId="13373"/>
    <cellStyle name="Note 86 3" xfId="13374"/>
    <cellStyle name="Note 86 3 2" xfId="13375"/>
    <cellStyle name="Note 86 3 3" xfId="13376"/>
    <cellStyle name="Note 86 3 4" xfId="13377"/>
    <cellStyle name="Note 86 3 5" xfId="13378"/>
    <cellStyle name="Note 86 3 6" xfId="39304"/>
    <cellStyle name="Note 86 3 7" xfId="39305"/>
    <cellStyle name="Note 86 3 8" xfId="39306"/>
    <cellStyle name="Note 86 4" xfId="13379"/>
    <cellStyle name="Note 86 4 2" xfId="13380"/>
    <cellStyle name="Note 86 4 3" xfId="13381"/>
    <cellStyle name="Note 86 4 4" xfId="13382"/>
    <cellStyle name="Note 86 4 5" xfId="13383"/>
    <cellStyle name="Note 86 4 6" xfId="39307"/>
    <cellStyle name="Note 86 4 7" xfId="39308"/>
    <cellStyle name="Note 86 4 8" xfId="39309"/>
    <cellStyle name="Note 86 5" xfId="13384"/>
    <cellStyle name="Note 86 5 2" xfId="13385"/>
    <cellStyle name="Note 86 5 3" xfId="13386"/>
    <cellStyle name="Note 86 5 4" xfId="13387"/>
    <cellStyle name="Note 86 5 5" xfId="13388"/>
    <cellStyle name="Note 86 5 6" xfId="39310"/>
    <cellStyle name="Note 86 5 7" xfId="39311"/>
    <cellStyle name="Note 86 5 8" xfId="39312"/>
    <cellStyle name="Note 86 6" xfId="13389"/>
    <cellStyle name="Note 86 6 2" xfId="13390"/>
    <cellStyle name="Note 86 6 3" xfId="13391"/>
    <cellStyle name="Note 86 6 4" xfId="13392"/>
    <cellStyle name="Note 86 6 5" xfId="13393"/>
    <cellStyle name="Note 86 6 6" xfId="39313"/>
    <cellStyle name="Note 86 6 7" xfId="39314"/>
    <cellStyle name="Note 86 6 8" xfId="39315"/>
    <cellStyle name="Note 86 7" xfId="13394"/>
    <cellStyle name="Note 86 7 2" xfId="13395"/>
    <cellStyle name="Note 86 7 3" xfId="13396"/>
    <cellStyle name="Note 86 7 4" xfId="13397"/>
    <cellStyle name="Note 86 7 5" xfId="13398"/>
    <cellStyle name="Note 86 7 6" xfId="39316"/>
    <cellStyle name="Note 86 7 7" xfId="39317"/>
    <cellStyle name="Note 86 7 8" xfId="39318"/>
    <cellStyle name="Note 86 8" xfId="13399"/>
    <cellStyle name="Note 86 9" xfId="13400"/>
    <cellStyle name="Note 87" xfId="13401"/>
    <cellStyle name="Note 87 10" xfId="13402"/>
    <cellStyle name="Note 87 11" xfId="13403"/>
    <cellStyle name="Note 87 12" xfId="39319"/>
    <cellStyle name="Note 87 13" xfId="39320"/>
    <cellStyle name="Note 87 14" xfId="39321"/>
    <cellStyle name="Note 87 2" xfId="13404"/>
    <cellStyle name="Note 87 2 10" xfId="13405"/>
    <cellStyle name="Note 87 2 11" xfId="39322"/>
    <cellStyle name="Note 87 2 12" xfId="39323"/>
    <cellStyle name="Note 87 2 13" xfId="39324"/>
    <cellStyle name="Note 87 2 2" xfId="13406"/>
    <cellStyle name="Note 87 2 2 2" xfId="13407"/>
    <cellStyle name="Note 87 2 2 3" xfId="13408"/>
    <cellStyle name="Note 87 2 2 4" xfId="13409"/>
    <cellStyle name="Note 87 2 2 5" xfId="13410"/>
    <cellStyle name="Note 87 2 2 6" xfId="39325"/>
    <cellStyle name="Note 87 2 2 7" xfId="39326"/>
    <cellStyle name="Note 87 2 2 8" xfId="39327"/>
    <cellStyle name="Note 87 2 3" xfId="13411"/>
    <cellStyle name="Note 87 2 3 2" xfId="13412"/>
    <cellStyle name="Note 87 2 3 3" xfId="13413"/>
    <cellStyle name="Note 87 2 3 4" xfId="13414"/>
    <cellStyle name="Note 87 2 3 5" xfId="13415"/>
    <cellStyle name="Note 87 2 3 6" xfId="39328"/>
    <cellStyle name="Note 87 2 3 7" xfId="39329"/>
    <cellStyle name="Note 87 2 3 8" xfId="39330"/>
    <cellStyle name="Note 87 2 4" xfId="13416"/>
    <cellStyle name="Note 87 2 4 2" xfId="13417"/>
    <cellStyle name="Note 87 2 4 3" xfId="13418"/>
    <cellStyle name="Note 87 2 4 4" xfId="13419"/>
    <cellStyle name="Note 87 2 4 5" xfId="13420"/>
    <cellStyle name="Note 87 2 4 6" xfId="39331"/>
    <cellStyle name="Note 87 2 4 7" xfId="39332"/>
    <cellStyle name="Note 87 2 4 8" xfId="39333"/>
    <cellStyle name="Note 87 2 5" xfId="13421"/>
    <cellStyle name="Note 87 2 5 2" xfId="13422"/>
    <cellStyle name="Note 87 2 5 3" xfId="13423"/>
    <cellStyle name="Note 87 2 5 4" xfId="13424"/>
    <cellStyle name="Note 87 2 5 5" xfId="13425"/>
    <cellStyle name="Note 87 2 5 6" xfId="39334"/>
    <cellStyle name="Note 87 2 5 7" xfId="39335"/>
    <cellStyle name="Note 87 2 5 8" xfId="39336"/>
    <cellStyle name="Note 87 2 6" xfId="13426"/>
    <cellStyle name="Note 87 2 6 2" xfId="13427"/>
    <cellStyle name="Note 87 2 6 3" xfId="13428"/>
    <cellStyle name="Note 87 2 6 4" xfId="13429"/>
    <cellStyle name="Note 87 2 6 5" xfId="13430"/>
    <cellStyle name="Note 87 2 6 6" xfId="39337"/>
    <cellStyle name="Note 87 2 6 7" xfId="39338"/>
    <cellStyle name="Note 87 2 6 8" xfId="39339"/>
    <cellStyle name="Note 87 2 7" xfId="13431"/>
    <cellStyle name="Note 87 2 8" xfId="13432"/>
    <cellStyle name="Note 87 2 9" xfId="13433"/>
    <cellStyle name="Note 87 3" xfId="13434"/>
    <cellStyle name="Note 87 3 2" xfId="13435"/>
    <cellStyle name="Note 87 3 3" xfId="13436"/>
    <cellStyle name="Note 87 3 4" xfId="13437"/>
    <cellStyle name="Note 87 3 5" xfId="13438"/>
    <cellStyle name="Note 87 3 6" xfId="39340"/>
    <cellStyle name="Note 87 3 7" xfId="39341"/>
    <cellStyle name="Note 87 3 8" xfId="39342"/>
    <cellStyle name="Note 87 4" xfId="13439"/>
    <cellStyle name="Note 87 4 2" xfId="13440"/>
    <cellStyle name="Note 87 4 3" xfId="13441"/>
    <cellStyle name="Note 87 4 4" xfId="13442"/>
    <cellStyle name="Note 87 4 5" xfId="13443"/>
    <cellStyle name="Note 87 4 6" xfId="39343"/>
    <cellStyle name="Note 87 4 7" xfId="39344"/>
    <cellStyle name="Note 87 4 8" xfId="39345"/>
    <cellStyle name="Note 87 5" xfId="13444"/>
    <cellStyle name="Note 87 5 2" xfId="13445"/>
    <cellStyle name="Note 87 5 3" xfId="13446"/>
    <cellStyle name="Note 87 5 4" xfId="13447"/>
    <cellStyle name="Note 87 5 5" xfId="13448"/>
    <cellStyle name="Note 87 5 6" xfId="39346"/>
    <cellStyle name="Note 87 5 7" xfId="39347"/>
    <cellStyle name="Note 87 5 8" xfId="39348"/>
    <cellStyle name="Note 87 6" xfId="13449"/>
    <cellStyle name="Note 87 6 2" xfId="13450"/>
    <cellStyle name="Note 87 6 3" xfId="13451"/>
    <cellStyle name="Note 87 6 4" xfId="13452"/>
    <cellStyle name="Note 87 6 5" xfId="13453"/>
    <cellStyle name="Note 87 6 6" xfId="39349"/>
    <cellStyle name="Note 87 6 7" xfId="39350"/>
    <cellStyle name="Note 87 6 8" xfId="39351"/>
    <cellStyle name="Note 87 7" xfId="13454"/>
    <cellStyle name="Note 87 7 2" xfId="13455"/>
    <cellStyle name="Note 87 7 3" xfId="13456"/>
    <cellStyle name="Note 87 7 4" xfId="13457"/>
    <cellStyle name="Note 87 7 5" xfId="13458"/>
    <cellStyle name="Note 87 7 6" xfId="39352"/>
    <cellStyle name="Note 87 7 7" xfId="39353"/>
    <cellStyle name="Note 87 7 8" xfId="39354"/>
    <cellStyle name="Note 87 8" xfId="13459"/>
    <cellStyle name="Note 87 9" xfId="13460"/>
    <cellStyle name="Note 88" xfId="13461"/>
    <cellStyle name="Note 88 10" xfId="13462"/>
    <cellStyle name="Note 88 11" xfId="13463"/>
    <cellStyle name="Note 88 12" xfId="39355"/>
    <cellStyle name="Note 88 13" xfId="39356"/>
    <cellStyle name="Note 88 14" xfId="39357"/>
    <cellStyle name="Note 88 2" xfId="13464"/>
    <cellStyle name="Note 88 2 10" xfId="13465"/>
    <cellStyle name="Note 88 2 11" xfId="39358"/>
    <cellStyle name="Note 88 2 12" xfId="39359"/>
    <cellStyle name="Note 88 2 13" xfId="39360"/>
    <cellStyle name="Note 88 2 2" xfId="13466"/>
    <cellStyle name="Note 88 2 2 2" xfId="13467"/>
    <cellStyle name="Note 88 2 2 3" xfId="13468"/>
    <cellStyle name="Note 88 2 2 4" xfId="13469"/>
    <cellStyle name="Note 88 2 2 5" xfId="13470"/>
    <cellStyle name="Note 88 2 2 6" xfId="39361"/>
    <cellStyle name="Note 88 2 2 7" xfId="39362"/>
    <cellStyle name="Note 88 2 2 8" xfId="39363"/>
    <cellStyle name="Note 88 2 3" xfId="13471"/>
    <cellStyle name="Note 88 2 3 2" xfId="13472"/>
    <cellStyle name="Note 88 2 3 3" xfId="13473"/>
    <cellStyle name="Note 88 2 3 4" xfId="13474"/>
    <cellStyle name="Note 88 2 3 5" xfId="13475"/>
    <cellStyle name="Note 88 2 3 6" xfId="39364"/>
    <cellStyle name="Note 88 2 3 7" xfId="39365"/>
    <cellStyle name="Note 88 2 3 8" xfId="39366"/>
    <cellStyle name="Note 88 2 4" xfId="13476"/>
    <cellStyle name="Note 88 2 4 2" xfId="13477"/>
    <cellStyle name="Note 88 2 4 3" xfId="13478"/>
    <cellStyle name="Note 88 2 4 4" xfId="13479"/>
    <cellStyle name="Note 88 2 4 5" xfId="13480"/>
    <cellStyle name="Note 88 2 4 6" xfId="39367"/>
    <cellStyle name="Note 88 2 4 7" xfId="39368"/>
    <cellStyle name="Note 88 2 4 8" xfId="39369"/>
    <cellStyle name="Note 88 2 5" xfId="13481"/>
    <cellStyle name="Note 88 2 5 2" xfId="13482"/>
    <cellStyle name="Note 88 2 5 3" xfId="13483"/>
    <cellStyle name="Note 88 2 5 4" xfId="13484"/>
    <cellStyle name="Note 88 2 5 5" xfId="13485"/>
    <cellStyle name="Note 88 2 5 6" xfId="39370"/>
    <cellStyle name="Note 88 2 5 7" xfId="39371"/>
    <cellStyle name="Note 88 2 5 8" xfId="39372"/>
    <cellStyle name="Note 88 2 6" xfId="13486"/>
    <cellStyle name="Note 88 2 6 2" xfId="13487"/>
    <cellStyle name="Note 88 2 6 3" xfId="13488"/>
    <cellStyle name="Note 88 2 6 4" xfId="13489"/>
    <cellStyle name="Note 88 2 6 5" xfId="13490"/>
    <cellStyle name="Note 88 2 6 6" xfId="39373"/>
    <cellStyle name="Note 88 2 6 7" xfId="39374"/>
    <cellStyle name="Note 88 2 6 8" xfId="39375"/>
    <cellStyle name="Note 88 2 7" xfId="13491"/>
    <cellStyle name="Note 88 2 8" xfId="13492"/>
    <cellStyle name="Note 88 2 9" xfId="13493"/>
    <cellStyle name="Note 88 3" xfId="13494"/>
    <cellStyle name="Note 88 3 2" xfId="13495"/>
    <cellStyle name="Note 88 3 3" xfId="13496"/>
    <cellStyle name="Note 88 3 4" xfId="13497"/>
    <cellStyle name="Note 88 3 5" xfId="13498"/>
    <cellStyle name="Note 88 3 6" xfId="39376"/>
    <cellStyle name="Note 88 3 7" xfId="39377"/>
    <cellStyle name="Note 88 3 8" xfId="39378"/>
    <cellStyle name="Note 88 4" xfId="13499"/>
    <cellStyle name="Note 88 4 2" xfId="13500"/>
    <cellStyle name="Note 88 4 3" xfId="13501"/>
    <cellStyle name="Note 88 4 4" xfId="13502"/>
    <cellStyle name="Note 88 4 5" xfId="13503"/>
    <cellStyle name="Note 88 4 6" xfId="39379"/>
    <cellStyle name="Note 88 4 7" xfId="39380"/>
    <cellStyle name="Note 88 4 8" xfId="39381"/>
    <cellStyle name="Note 88 5" xfId="13504"/>
    <cellStyle name="Note 88 5 2" xfId="13505"/>
    <cellStyle name="Note 88 5 3" xfId="13506"/>
    <cellStyle name="Note 88 5 4" xfId="13507"/>
    <cellStyle name="Note 88 5 5" xfId="13508"/>
    <cellStyle name="Note 88 5 6" xfId="39382"/>
    <cellStyle name="Note 88 5 7" xfId="39383"/>
    <cellStyle name="Note 88 5 8" xfId="39384"/>
    <cellStyle name="Note 88 6" xfId="13509"/>
    <cellStyle name="Note 88 6 2" xfId="13510"/>
    <cellStyle name="Note 88 6 3" xfId="13511"/>
    <cellStyle name="Note 88 6 4" xfId="13512"/>
    <cellStyle name="Note 88 6 5" xfId="13513"/>
    <cellStyle name="Note 88 6 6" xfId="39385"/>
    <cellStyle name="Note 88 6 7" xfId="39386"/>
    <cellStyle name="Note 88 6 8" xfId="39387"/>
    <cellStyle name="Note 88 7" xfId="13514"/>
    <cellStyle name="Note 88 7 2" xfId="13515"/>
    <cellStyle name="Note 88 7 3" xfId="13516"/>
    <cellStyle name="Note 88 7 4" xfId="13517"/>
    <cellStyle name="Note 88 7 5" xfId="13518"/>
    <cellStyle name="Note 88 7 6" xfId="39388"/>
    <cellStyle name="Note 88 7 7" xfId="39389"/>
    <cellStyle name="Note 88 7 8" xfId="39390"/>
    <cellStyle name="Note 88 8" xfId="13519"/>
    <cellStyle name="Note 88 9" xfId="13520"/>
    <cellStyle name="Note 89" xfId="13521"/>
    <cellStyle name="Note 89 10" xfId="13522"/>
    <cellStyle name="Note 89 11" xfId="13523"/>
    <cellStyle name="Note 89 12" xfId="39391"/>
    <cellStyle name="Note 89 13" xfId="39392"/>
    <cellStyle name="Note 89 14" xfId="39393"/>
    <cellStyle name="Note 89 2" xfId="13524"/>
    <cellStyle name="Note 89 2 10" xfId="13525"/>
    <cellStyle name="Note 89 2 11" xfId="39394"/>
    <cellStyle name="Note 89 2 12" xfId="39395"/>
    <cellStyle name="Note 89 2 13" xfId="39396"/>
    <cellStyle name="Note 89 2 2" xfId="13526"/>
    <cellStyle name="Note 89 2 2 2" xfId="13527"/>
    <cellStyle name="Note 89 2 2 3" xfId="13528"/>
    <cellStyle name="Note 89 2 2 4" xfId="13529"/>
    <cellStyle name="Note 89 2 2 5" xfId="13530"/>
    <cellStyle name="Note 89 2 2 6" xfId="39397"/>
    <cellStyle name="Note 89 2 2 7" xfId="39398"/>
    <cellStyle name="Note 89 2 2 8" xfId="39399"/>
    <cellStyle name="Note 89 2 3" xfId="13531"/>
    <cellStyle name="Note 89 2 3 2" xfId="13532"/>
    <cellStyle name="Note 89 2 3 3" xfId="13533"/>
    <cellStyle name="Note 89 2 3 4" xfId="13534"/>
    <cellStyle name="Note 89 2 3 5" xfId="13535"/>
    <cellStyle name="Note 89 2 3 6" xfId="39400"/>
    <cellStyle name="Note 89 2 3 7" xfId="39401"/>
    <cellStyle name="Note 89 2 3 8" xfId="39402"/>
    <cellStyle name="Note 89 2 4" xfId="13536"/>
    <cellStyle name="Note 89 2 4 2" xfId="13537"/>
    <cellStyle name="Note 89 2 4 3" xfId="13538"/>
    <cellStyle name="Note 89 2 4 4" xfId="13539"/>
    <cellStyle name="Note 89 2 4 5" xfId="13540"/>
    <cellStyle name="Note 89 2 4 6" xfId="39403"/>
    <cellStyle name="Note 89 2 4 7" xfId="39404"/>
    <cellStyle name="Note 89 2 4 8" xfId="39405"/>
    <cellStyle name="Note 89 2 5" xfId="13541"/>
    <cellStyle name="Note 89 2 5 2" xfId="13542"/>
    <cellStyle name="Note 89 2 5 3" xfId="13543"/>
    <cellStyle name="Note 89 2 5 4" xfId="13544"/>
    <cellStyle name="Note 89 2 5 5" xfId="13545"/>
    <cellStyle name="Note 89 2 5 6" xfId="39406"/>
    <cellStyle name="Note 89 2 5 7" xfId="39407"/>
    <cellStyle name="Note 89 2 5 8" xfId="39408"/>
    <cellStyle name="Note 89 2 6" xfId="13546"/>
    <cellStyle name="Note 89 2 6 2" xfId="13547"/>
    <cellStyle name="Note 89 2 6 3" xfId="13548"/>
    <cellStyle name="Note 89 2 6 4" xfId="13549"/>
    <cellStyle name="Note 89 2 6 5" xfId="13550"/>
    <cellStyle name="Note 89 2 6 6" xfId="39409"/>
    <cellStyle name="Note 89 2 6 7" xfId="39410"/>
    <cellStyle name="Note 89 2 6 8" xfId="39411"/>
    <cellStyle name="Note 89 2 7" xfId="13551"/>
    <cellStyle name="Note 89 2 8" xfId="13552"/>
    <cellStyle name="Note 89 2 9" xfId="13553"/>
    <cellStyle name="Note 89 3" xfId="13554"/>
    <cellStyle name="Note 89 3 2" xfId="13555"/>
    <cellStyle name="Note 89 3 3" xfId="13556"/>
    <cellStyle name="Note 89 3 4" xfId="13557"/>
    <cellStyle name="Note 89 3 5" xfId="13558"/>
    <cellStyle name="Note 89 3 6" xfId="39412"/>
    <cellStyle name="Note 89 3 7" xfId="39413"/>
    <cellStyle name="Note 89 3 8" xfId="39414"/>
    <cellStyle name="Note 89 4" xfId="13559"/>
    <cellStyle name="Note 89 4 2" xfId="13560"/>
    <cellStyle name="Note 89 4 3" xfId="13561"/>
    <cellStyle name="Note 89 4 4" xfId="13562"/>
    <cellStyle name="Note 89 4 5" xfId="13563"/>
    <cellStyle name="Note 89 4 6" xfId="39415"/>
    <cellStyle name="Note 89 4 7" xfId="39416"/>
    <cellStyle name="Note 89 4 8" xfId="39417"/>
    <cellStyle name="Note 89 5" xfId="13564"/>
    <cellStyle name="Note 89 5 2" xfId="13565"/>
    <cellStyle name="Note 89 5 3" xfId="13566"/>
    <cellStyle name="Note 89 5 4" xfId="13567"/>
    <cellStyle name="Note 89 5 5" xfId="13568"/>
    <cellStyle name="Note 89 5 6" xfId="39418"/>
    <cellStyle name="Note 89 5 7" xfId="39419"/>
    <cellStyle name="Note 89 5 8" xfId="39420"/>
    <cellStyle name="Note 89 6" xfId="13569"/>
    <cellStyle name="Note 89 6 2" xfId="13570"/>
    <cellStyle name="Note 89 6 3" xfId="13571"/>
    <cellStyle name="Note 89 6 4" xfId="13572"/>
    <cellStyle name="Note 89 6 5" xfId="13573"/>
    <cellStyle name="Note 89 6 6" xfId="39421"/>
    <cellStyle name="Note 89 6 7" xfId="39422"/>
    <cellStyle name="Note 89 6 8" xfId="39423"/>
    <cellStyle name="Note 89 7" xfId="13574"/>
    <cellStyle name="Note 89 7 2" xfId="13575"/>
    <cellStyle name="Note 89 7 3" xfId="13576"/>
    <cellStyle name="Note 89 7 4" xfId="13577"/>
    <cellStyle name="Note 89 7 5" xfId="13578"/>
    <cellStyle name="Note 89 7 6" xfId="39424"/>
    <cellStyle name="Note 89 7 7" xfId="39425"/>
    <cellStyle name="Note 89 7 8" xfId="39426"/>
    <cellStyle name="Note 89 8" xfId="13579"/>
    <cellStyle name="Note 89 9" xfId="13580"/>
    <cellStyle name="Note 9" xfId="13581"/>
    <cellStyle name="Note 9 10" xfId="13582"/>
    <cellStyle name="Note 9 10 2" xfId="13583"/>
    <cellStyle name="Note 9 10 3" xfId="13584"/>
    <cellStyle name="Note 9 10 4" xfId="13585"/>
    <cellStyle name="Note 9 10 5" xfId="13586"/>
    <cellStyle name="Note 9 10 6" xfId="39427"/>
    <cellStyle name="Note 9 10 7" xfId="39428"/>
    <cellStyle name="Note 9 10 8" xfId="39429"/>
    <cellStyle name="Note 9 11" xfId="13587"/>
    <cellStyle name="Note 9 11 2" xfId="13588"/>
    <cellStyle name="Note 9 11 3" xfId="13589"/>
    <cellStyle name="Note 9 11 4" xfId="13590"/>
    <cellStyle name="Note 9 11 5" xfId="13591"/>
    <cellStyle name="Note 9 11 6" xfId="39430"/>
    <cellStyle name="Note 9 11 7" xfId="39431"/>
    <cellStyle name="Note 9 11 8" xfId="39432"/>
    <cellStyle name="Note 9 12" xfId="13592"/>
    <cellStyle name="Note 9 12 2" xfId="13593"/>
    <cellStyle name="Note 9 12 3" xfId="13594"/>
    <cellStyle name="Note 9 12 4" xfId="13595"/>
    <cellStyle name="Note 9 12 5" xfId="13596"/>
    <cellStyle name="Note 9 12 6" xfId="39433"/>
    <cellStyle name="Note 9 12 7" xfId="39434"/>
    <cellStyle name="Note 9 12 8" xfId="39435"/>
    <cellStyle name="Note 9 13" xfId="13597"/>
    <cellStyle name="Note 9 13 2" xfId="13598"/>
    <cellStyle name="Note 9 13 3" xfId="13599"/>
    <cellStyle name="Note 9 13 4" xfId="13600"/>
    <cellStyle name="Note 9 13 5" xfId="13601"/>
    <cellStyle name="Note 9 13 6" xfId="39436"/>
    <cellStyle name="Note 9 13 7" xfId="39437"/>
    <cellStyle name="Note 9 13 8" xfId="39438"/>
    <cellStyle name="Note 9 14" xfId="13602"/>
    <cellStyle name="Note 9 14 2" xfId="13603"/>
    <cellStyle name="Note 9 14 3" xfId="13604"/>
    <cellStyle name="Note 9 14 4" xfId="13605"/>
    <cellStyle name="Note 9 14 5" xfId="13606"/>
    <cellStyle name="Note 9 14 6" xfId="39439"/>
    <cellStyle name="Note 9 14 7" xfId="39440"/>
    <cellStyle name="Note 9 14 8" xfId="39441"/>
    <cellStyle name="Note 9 15" xfId="13607"/>
    <cellStyle name="Note 9 16" xfId="13608"/>
    <cellStyle name="Note 9 17" xfId="13609"/>
    <cellStyle name="Note 9 18" xfId="13610"/>
    <cellStyle name="Note 9 19" xfId="39442"/>
    <cellStyle name="Note 9 2" xfId="13611"/>
    <cellStyle name="Note 9 2 10" xfId="13612"/>
    <cellStyle name="Note 9 2 11" xfId="39443"/>
    <cellStyle name="Note 9 2 12" xfId="39444"/>
    <cellStyle name="Note 9 2 13" xfId="39445"/>
    <cellStyle name="Note 9 2 2" xfId="13613"/>
    <cellStyle name="Note 9 2 2 2" xfId="13614"/>
    <cellStyle name="Note 9 2 2 3" xfId="13615"/>
    <cellStyle name="Note 9 2 2 4" xfId="13616"/>
    <cellStyle name="Note 9 2 2 5" xfId="13617"/>
    <cellStyle name="Note 9 2 2 6" xfId="39446"/>
    <cellStyle name="Note 9 2 2 7" xfId="39447"/>
    <cellStyle name="Note 9 2 2 8" xfId="39448"/>
    <cellStyle name="Note 9 2 3" xfId="13618"/>
    <cellStyle name="Note 9 2 3 2" xfId="13619"/>
    <cellStyle name="Note 9 2 3 3" xfId="13620"/>
    <cellStyle name="Note 9 2 3 4" xfId="13621"/>
    <cellStyle name="Note 9 2 3 5" xfId="13622"/>
    <cellStyle name="Note 9 2 3 6" xfId="39449"/>
    <cellStyle name="Note 9 2 3 7" xfId="39450"/>
    <cellStyle name="Note 9 2 3 8" xfId="39451"/>
    <cellStyle name="Note 9 2 4" xfId="13623"/>
    <cellStyle name="Note 9 2 4 2" xfId="13624"/>
    <cellStyle name="Note 9 2 4 3" xfId="13625"/>
    <cellStyle name="Note 9 2 4 4" xfId="13626"/>
    <cellStyle name="Note 9 2 4 5" xfId="13627"/>
    <cellStyle name="Note 9 2 4 6" xfId="39452"/>
    <cellStyle name="Note 9 2 4 7" xfId="39453"/>
    <cellStyle name="Note 9 2 4 8" xfId="39454"/>
    <cellStyle name="Note 9 2 5" xfId="13628"/>
    <cellStyle name="Note 9 2 5 2" xfId="13629"/>
    <cellStyle name="Note 9 2 5 3" xfId="13630"/>
    <cellStyle name="Note 9 2 5 4" xfId="13631"/>
    <cellStyle name="Note 9 2 5 5" xfId="13632"/>
    <cellStyle name="Note 9 2 5 6" xfId="39455"/>
    <cellStyle name="Note 9 2 5 7" xfId="39456"/>
    <cellStyle name="Note 9 2 5 8" xfId="39457"/>
    <cellStyle name="Note 9 2 6" xfId="13633"/>
    <cellStyle name="Note 9 2 6 2" xfId="13634"/>
    <cellStyle name="Note 9 2 6 3" xfId="13635"/>
    <cellStyle name="Note 9 2 6 4" xfId="13636"/>
    <cellStyle name="Note 9 2 6 5" xfId="13637"/>
    <cellStyle name="Note 9 2 6 6" xfId="39458"/>
    <cellStyle name="Note 9 2 6 7" xfId="39459"/>
    <cellStyle name="Note 9 2 6 8" xfId="39460"/>
    <cellStyle name="Note 9 2 7" xfId="13638"/>
    <cellStyle name="Note 9 2 8" xfId="13639"/>
    <cellStyle name="Note 9 2 9" xfId="13640"/>
    <cellStyle name="Note 9 20" xfId="39461"/>
    <cellStyle name="Note 9 21" xfId="39462"/>
    <cellStyle name="Note 9 22" xfId="39463"/>
    <cellStyle name="Note 9 23" xfId="39464"/>
    <cellStyle name="Note 9 3" xfId="13641"/>
    <cellStyle name="Note 9 3 10" xfId="13642"/>
    <cellStyle name="Note 9 3 11" xfId="39465"/>
    <cellStyle name="Note 9 3 12" xfId="39466"/>
    <cellStyle name="Note 9 3 13" xfId="39467"/>
    <cellStyle name="Note 9 3 2" xfId="13643"/>
    <cellStyle name="Note 9 3 2 2" xfId="13644"/>
    <cellStyle name="Note 9 3 2 3" xfId="13645"/>
    <cellStyle name="Note 9 3 2 4" xfId="13646"/>
    <cellStyle name="Note 9 3 2 5" xfId="13647"/>
    <cellStyle name="Note 9 3 2 6" xfId="39468"/>
    <cellStyle name="Note 9 3 2 7" xfId="39469"/>
    <cellStyle name="Note 9 3 2 8" xfId="39470"/>
    <cellStyle name="Note 9 3 3" xfId="13648"/>
    <cellStyle name="Note 9 3 3 2" xfId="13649"/>
    <cellStyle name="Note 9 3 3 3" xfId="13650"/>
    <cellStyle name="Note 9 3 3 4" xfId="13651"/>
    <cellStyle name="Note 9 3 3 5" xfId="13652"/>
    <cellStyle name="Note 9 3 3 6" xfId="39471"/>
    <cellStyle name="Note 9 3 3 7" xfId="39472"/>
    <cellStyle name="Note 9 3 3 8" xfId="39473"/>
    <cellStyle name="Note 9 3 4" xfId="13653"/>
    <cellStyle name="Note 9 3 4 2" xfId="13654"/>
    <cellStyle name="Note 9 3 4 3" xfId="13655"/>
    <cellStyle name="Note 9 3 4 4" xfId="13656"/>
    <cellStyle name="Note 9 3 4 5" xfId="13657"/>
    <cellStyle name="Note 9 3 4 6" xfId="39474"/>
    <cellStyle name="Note 9 3 4 7" xfId="39475"/>
    <cellStyle name="Note 9 3 4 8" xfId="39476"/>
    <cellStyle name="Note 9 3 5" xfId="13658"/>
    <cellStyle name="Note 9 3 5 2" xfId="13659"/>
    <cellStyle name="Note 9 3 5 3" xfId="13660"/>
    <cellStyle name="Note 9 3 5 4" xfId="13661"/>
    <cellStyle name="Note 9 3 5 5" xfId="13662"/>
    <cellStyle name="Note 9 3 5 6" xfId="39477"/>
    <cellStyle name="Note 9 3 5 7" xfId="39478"/>
    <cellStyle name="Note 9 3 5 8" xfId="39479"/>
    <cellStyle name="Note 9 3 6" xfId="13663"/>
    <cellStyle name="Note 9 3 6 2" xfId="13664"/>
    <cellStyle name="Note 9 3 6 3" xfId="13665"/>
    <cellStyle name="Note 9 3 6 4" xfId="13666"/>
    <cellStyle name="Note 9 3 6 5" xfId="13667"/>
    <cellStyle name="Note 9 3 6 6" xfId="39480"/>
    <cellStyle name="Note 9 3 6 7" xfId="39481"/>
    <cellStyle name="Note 9 3 6 8" xfId="39482"/>
    <cellStyle name="Note 9 3 7" xfId="13668"/>
    <cellStyle name="Note 9 3 8" xfId="13669"/>
    <cellStyle name="Note 9 3 9" xfId="13670"/>
    <cellStyle name="Note 9 4" xfId="13671"/>
    <cellStyle name="Note 9 4 10" xfId="13672"/>
    <cellStyle name="Note 9 4 11" xfId="39483"/>
    <cellStyle name="Note 9 4 12" xfId="39484"/>
    <cellStyle name="Note 9 4 13" xfId="39485"/>
    <cellStyle name="Note 9 4 2" xfId="13673"/>
    <cellStyle name="Note 9 4 2 2" xfId="13674"/>
    <cellStyle name="Note 9 4 2 3" xfId="13675"/>
    <cellStyle name="Note 9 4 2 4" xfId="13676"/>
    <cellStyle name="Note 9 4 2 5" xfId="13677"/>
    <cellStyle name="Note 9 4 2 6" xfId="39486"/>
    <cellStyle name="Note 9 4 2 7" xfId="39487"/>
    <cellStyle name="Note 9 4 2 8" xfId="39488"/>
    <cellStyle name="Note 9 4 3" xfId="13678"/>
    <cellStyle name="Note 9 4 3 2" xfId="13679"/>
    <cellStyle name="Note 9 4 3 3" xfId="13680"/>
    <cellStyle name="Note 9 4 3 4" xfId="13681"/>
    <cellStyle name="Note 9 4 3 5" xfId="13682"/>
    <cellStyle name="Note 9 4 3 6" xfId="39489"/>
    <cellStyle name="Note 9 4 3 7" xfId="39490"/>
    <cellStyle name="Note 9 4 3 8" xfId="39491"/>
    <cellStyle name="Note 9 4 4" xfId="13683"/>
    <cellStyle name="Note 9 4 4 2" xfId="13684"/>
    <cellStyle name="Note 9 4 4 3" xfId="13685"/>
    <cellStyle name="Note 9 4 4 4" xfId="13686"/>
    <cellStyle name="Note 9 4 4 5" xfId="13687"/>
    <cellStyle name="Note 9 4 4 6" xfId="39492"/>
    <cellStyle name="Note 9 4 4 7" xfId="39493"/>
    <cellStyle name="Note 9 4 4 8" xfId="39494"/>
    <cellStyle name="Note 9 4 5" xfId="13688"/>
    <cellStyle name="Note 9 4 5 2" xfId="13689"/>
    <cellStyle name="Note 9 4 5 3" xfId="13690"/>
    <cellStyle name="Note 9 4 5 4" xfId="13691"/>
    <cellStyle name="Note 9 4 5 5" xfId="13692"/>
    <cellStyle name="Note 9 4 5 6" xfId="39495"/>
    <cellStyle name="Note 9 4 5 7" xfId="39496"/>
    <cellStyle name="Note 9 4 5 8" xfId="39497"/>
    <cellStyle name="Note 9 4 6" xfId="13693"/>
    <cellStyle name="Note 9 4 6 2" xfId="13694"/>
    <cellStyle name="Note 9 4 6 3" xfId="13695"/>
    <cellStyle name="Note 9 4 6 4" xfId="13696"/>
    <cellStyle name="Note 9 4 6 5" xfId="13697"/>
    <cellStyle name="Note 9 4 6 6" xfId="39498"/>
    <cellStyle name="Note 9 4 6 7" xfId="39499"/>
    <cellStyle name="Note 9 4 6 8" xfId="39500"/>
    <cellStyle name="Note 9 4 7" xfId="13698"/>
    <cellStyle name="Note 9 4 8" xfId="13699"/>
    <cellStyle name="Note 9 4 9" xfId="13700"/>
    <cellStyle name="Note 9 5" xfId="13701"/>
    <cellStyle name="Note 9 5 10" xfId="13702"/>
    <cellStyle name="Note 9 5 11" xfId="39501"/>
    <cellStyle name="Note 9 5 12" xfId="39502"/>
    <cellStyle name="Note 9 5 13" xfId="39503"/>
    <cellStyle name="Note 9 5 2" xfId="13703"/>
    <cellStyle name="Note 9 5 2 2" xfId="13704"/>
    <cellStyle name="Note 9 5 2 3" xfId="13705"/>
    <cellStyle name="Note 9 5 2 4" xfId="13706"/>
    <cellStyle name="Note 9 5 2 5" xfId="13707"/>
    <cellStyle name="Note 9 5 2 6" xfId="39504"/>
    <cellStyle name="Note 9 5 2 7" xfId="39505"/>
    <cellStyle name="Note 9 5 2 8" xfId="39506"/>
    <cellStyle name="Note 9 5 3" xfId="13708"/>
    <cellStyle name="Note 9 5 3 2" xfId="13709"/>
    <cellStyle name="Note 9 5 3 3" xfId="13710"/>
    <cellStyle name="Note 9 5 3 4" xfId="13711"/>
    <cellStyle name="Note 9 5 3 5" xfId="13712"/>
    <cellStyle name="Note 9 5 3 6" xfId="39507"/>
    <cellStyle name="Note 9 5 3 7" xfId="39508"/>
    <cellStyle name="Note 9 5 3 8" xfId="39509"/>
    <cellStyle name="Note 9 5 4" xfId="13713"/>
    <cellStyle name="Note 9 5 4 2" xfId="13714"/>
    <cellStyle name="Note 9 5 4 3" xfId="13715"/>
    <cellStyle name="Note 9 5 4 4" xfId="13716"/>
    <cellStyle name="Note 9 5 4 5" xfId="13717"/>
    <cellStyle name="Note 9 5 4 6" xfId="39510"/>
    <cellStyle name="Note 9 5 4 7" xfId="39511"/>
    <cellStyle name="Note 9 5 4 8" xfId="39512"/>
    <cellStyle name="Note 9 5 5" xfId="13718"/>
    <cellStyle name="Note 9 5 5 2" xfId="13719"/>
    <cellStyle name="Note 9 5 5 3" xfId="13720"/>
    <cellStyle name="Note 9 5 5 4" xfId="13721"/>
    <cellStyle name="Note 9 5 5 5" xfId="13722"/>
    <cellStyle name="Note 9 5 5 6" xfId="39513"/>
    <cellStyle name="Note 9 5 5 7" xfId="39514"/>
    <cellStyle name="Note 9 5 5 8" xfId="39515"/>
    <cellStyle name="Note 9 5 6" xfId="13723"/>
    <cellStyle name="Note 9 5 6 2" xfId="13724"/>
    <cellStyle name="Note 9 5 6 3" xfId="13725"/>
    <cellStyle name="Note 9 5 6 4" xfId="13726"/>
    <cellStyle name="Note 9 5 6 5" xfId="13727"/>
    <cellStyle name="Note 9 5 6 6" xfId="39516"/>
    <cellStyle name="Note 9 5 6 7" xfId="39517"/>
    <cellStyle name="Note 9 5 6 8" xfId="39518"/>
    <cellStyle name="Note 9 5 7" xfId="13728"/>
    <cellStyle name="Note 9 5 8" xfId="13729"/>
    <cellStyle name="Note 9 5 9" xfId="13730"/>
    <cellStyle name="Note 9 6" xfId="13731"/>
    <cellStyle name="Note 9 6 10" xfId="13732"/>
    <cellStyle name="Note 9 6 11" xfId="39519"/>
    <cellStyle name="Note 9 6 12" xfId="39520"/>
    <cellStyle name="Note 9 6 13" xfId="39521"/>
    <cellStyle name="Note 9 6 2" xfId="13733"/>
    <cellStyle name="Note 9 6 2 2" xfId="13734"/>
    <cellStyle name="Note 9 6 2 3" xfId="13735"/>
    <cellStyle name="Note 9 6 2 4" xfId="13736"/>
    <cellStyle name="Note 9 6 2 5" xfId="13737"/>
    <cellStyle name="Note 9 6 2 6" xfId="39522"/>
    <cellStyle name="Note 9 6 2 7" xfId="39523"/>
    <cellStyle name="Note 9 6 2 8" xfId="39524"/>
    <cellStyle name="Note 9 6 3" xfId="13738"/>
    <cellStyle name="Note 9 6 3 2" xfId="13739"/>
    <cellStyle name="Note 9 6 3 3" xfId="13740"/>
    <cellStyle name="Note 9 6 3 4" xfId="13741"/>
    <cellStyle name="Note 9 6 3 5" xfId="13742"/>
    <cellStyle name="Note 9 6 3 6" xfId="39525"/>
    <cellStyle name="Note 9 6 3 7" xfId="39526"/>
    <cellStyle name="Note 9 6 3 8" xfId="39527"/>
    <cellStyle name="Note 9 6 4" xfId="13743"/>
    <cellStyle name="Note 9 6 4 2" xfId="13744"/>
    <cellStyle name="Note 9 6 4 3" xfId="13745"/>
    <cellStyle name="Note 9 6 4 4" xfId="13746"/>
    <cellStyle name="Note 9 6 4 5" xfId="13747"/>
    <cellStyle name="Note 9 6 4 6" xfId="39528"/>
    <cellStyle name="Note 9 6 4 7" xfId="39529"/>
    <cellStyle name="Note 9 6 4 8" xfId="39530"/>
    <cellStyle name="Note 9 6 5" xfId="13748"/>
    <cellStyle name="Note 9 6 5 2" xfId="13749"/>
    <cellStyle name="Note 9 6 5 3" xfId="13750"/>
    <cellStyle name="Note 9 6 5 4" xfId="13751"/>
    <cellStyle name="Note 9 6 5 5" xfId="13752"/>
    <cellStyle name="Note 9 6 5 6" xfId="39531"/>
    <cellStyle name="Note 9 6 5 7" xfId="39532"/>
    <cellStyle name="Note 9 6 5 8" xfId="39533"/>
    <cellStyle name="Note 9 6 6" xfId="13753"/>
    <cellStyle name="Note 9 6 6 2" xfId="13754"/>
    <cellStyle name="Note 9 6 6 3" xfId="13755"/>
    <cellStyle name="Note 9 6 6 4" xfId="13756"/>
    <cellStyle name="Note 9 6 6 5" xfId="13757"/>
    <cellStyle name="Note 9 6 6 6" xfId="39534"/>
    <cellStyle name="Note 9 6 6 7" xfId="39535"/>
    <cellStyle name="Note 9 6 6 8" xfId="39536"/>
    <cellStyle name="Note 9 6 7" xfId="13758"/>
    <cellStyle name="Note 9 6 8" xfId="13759"/>
    <cellStyle name="Note 9 6 9" xfId="13760"/>
    <cellStyle name="Note 9 7" xfId="13761"/>
    <cellStyle name="Note 9 7 10" xfId="13762"/>
    <cellStyle name="Note 9 7 11" xfId="39537"/>
    <cellStyle name="Note 9 7 12" xfId="39538"/>
    <cellStyle name="Note 9 7 13" xfId="39539"/>
    <cellStyle name="Note 9 7 2" xfId="13763"/>
    <cellStyle name="Note 9 7 2 2" xfId="13764"/>
    <cellStyle name="Note 9 7 2 3" xfId="13765"/>
    <cellStyle name="Note 9 7 2 4" xfId="13766"/>
    <cellStyle name="Note 9 7 2 5" xfId="13767"/>
    <cellStyle name="Note 9 7 2 6" xfId="39540"/>
    <cellStyle name="Note 9 7 2 7" xfId="39541"/>
    <cellStyle name="Note 9 7 2 8" xfId="39542"/>
    <cellStyle name="Note 9 7 3" xfId="13768"/>
    <cellStyle name="Note 9 7 3 2" xfId="13769"/>
    <cellStyle name="Note 9 7 3 3" xfId="13770"/>
    <cellStyle name="Note 9 7 3 4" xfId="13771"/>
    <cellStyle name="Note 9 7 3 5" xfId="13772"/>
    <cellStyle name="Note 9 7 3 6" xfId="39543"/>
    <cellStyle name="Note 9 7 3 7" xfId="39544"/>
    <cellStyle name="Note 9 7 3 8" xfId="39545"/>
    <cellStyle name="Note 9 7 4" xfId="13773"/>
    <cellStyle name="Note 9 7 4 2" xfId="13774"/>
    <cellStyle name="Note 9 7 4 3" xfId="13775"/>
    <cellStyle name="Note 9 7 4 4" xfId="13776"/>
    <cellStyle name="Note 9 7 4 5" xfId="13777"/>
    <cellStyle name="Note 9 7 4 6" xfId="39546"/>
    <cellStyle name="Note 9 7 4 7" xfId="39547"/>
    <cellStyle name="Note 9 7 4 8" xfId="39548"/>
    <cellStyle name="Note 9 7 5" xfId="13778"/>
    <cellStyle name="Note 9 7 5 2" xfId="13779"/>
    <cellStyle name="Note 9 7 5 3" xfId="13780"/>
    <cellStyle name="Note 9 7 5 4" xfId="13781"/>
    <cellStyle name="Note 9 7 5 5" xfId="13782"/>
    <cellStyle name="Note 9 7 5 6" xfId="39549"/>
    <cellStyle name="Note 9 7 5 7" xfId="39550"/>
    <cellStyle name="Note 9 7 5 8" xfId="39551"/>
    <cellStyle name="Note 9 7 6" xfId="13783"/>
    <cellStyle name="Note 9 7 6 2" xfId="13784"/>
    <cellStyle name="Note 9 7 6 3" xfId="13785"/>
    <cellStyle name="Note 9 7 6 4" xfId="13786"/>
    <cellStyle name="Note 9 7 6 5" xfId="13787"/>
    <cellStyle name="Note 9 7 6 6" xfId="39552"/>
    <cellStyle name="Note 9 7 6 7" xfId="39553"/>
    <cellStyle name="Note 9 7 6 8" xfId="39554"/>
    <cellStyle name="Note 9 7 7" xfId="13788"/>
    <cellStyle name="Note 9 7 8" xfId="13789"/>
    <cellStyle name="Note 9 7 9" xfId="13790"/>
    <cellStyle name="Note 9 8" xfId="13791"/>
    <cellStyle name="Note 9 8 10" xfId="13792"/>
    <cellStyle name="Note 9 8 11" xfId="39555"/>
    <cellStyle name="Note 9 8 12" xfId="39556"/>
    <cellStyle name="Note 9 8 13" xfId="39557"/>
    <cellStyle name="Note 9 8 2" xfId="13793"/>
    <cellStyle name="Note 9 8 2 2" xfId="13794"/>
    <cellStyle name="Note 9 8 2 3" xfId="13795"/>
    <cellStyle name="Note 9 8 2 4" xfId="13796"/>
    <cellStyle name="Note 9 8 2 5" xfId="13797"/>
    <cellStyle name="Note 9 8 2 6" xfId="39558"/>
    <cellStyle name="Note 9 8 2 7" xfId="39559"/>
    <cellStyle name="Note 9 8 2 8" xfId="39560"/>
    <cellStyle name="Note 9 8 3" xfId="13798"/>
    <cellStyle name="Note 9 8 3 2" xfId="13799"/>
    <cellStyle name="Note 9 8 3 3" xfId="13800"/>
    <cellStyle name="Note 9 8 3 4" xfId="13801"/>
    <cellStyle name="Note 9 8 3 5" xfId="13802"/>
    <cellStyle name="Note 9 8 3 6" xfId="39561"/>
    <cellStyle name="Note 9 8 3 7" xfId="39562"/>
    <cellStyle name="Note 9 8 3 8" xfId="39563"/>
    <cellStyle name="Note 9 8 4" xfId="13803"/>
    <cellStyle name="Note 9 8 4 2" xfId="13804"/>
    <cellStyle name="Note 9 8 4 3" xfId="13805"/>
    <cellStyle name="Note 9 8 4 4" xfId="13806"/>
    <cellStyle name="Note 9 8 4 5" xfId="13807"/>
    <cellStyle name="Note 9 8 4 6" xfId="39564"/>
    <cellStyle name="Note 9 8 4 7" xfId="39565"/>
    <cellStyle name="Note 9 8 4 8" xfId="39566"/>
    <cellStyle name="Note 9 8 5" xfId="13808"/>
    <cellStyle name="Note 9 8 5 2" xfId="13809"/>
    <cellStyle name="Note 9 8 5 3" xfId="13810"/>
    <cellStyle name="Note 9 8 5 4" xfId="13811"/>
    <cellStyle name="Note 9 8 5 5" xfId="13812"/>
    <cellStyle name="Note 9 8 5 6" xfId="39567"/>
    <cellStyle name="Note 9 8 5 7" xfId="39568"/>
    <cellStyle name="Note 9 8 5 8" xfId="39569"/>
    <cellStyle name="Note 9 8 6" xfId="13813"/>
    <cellStyle name="Note 9 8 6 2" xfId="13814"/>
    <cellStyle name="Note 9 8 6 3" xfId="13815"/>
    <cellStyle name="Note 9 8 6 4" xfId="13816"/>
    <cellStyle name="Note 9 8 6 5" xfId="13817"/>
    <cellStyle name="Note 9 8 6 6" xfId="39570"/>
    <cellStyle name="Note 9 8 6 7" xfId="39571"/>
    <cellStyle name="Note 9 8 6 8" xfId="39572"/>
    <cellStyle name="Note 9 8 7" xfId="13818"/>
    <cellStyle name="Note 9 8 8" xfId="13819"/>
    <cellStyle name="Note 9 8 9" xfId="13820"/>
    <cellStyle name="Note 9 9" xfId="13821"/>
    <cellStyle name="Note 9 9 10" xfId="13822"/>
    <cellStyle name="Note 9 9 11" xfId="39573"/>
    <cellStyle name="Note 9 9 12" xfId="39574"/>
    <cellStyle name="Note 9 9 13" xfId="39575"/>
    <cellStyle name="Note 9 9 2" xfId="13823"/>
    <cellStyle name="Note 9 9 2 2" xfId="13824"/>
    <cellStyle name="Note 9 9 2 3" xfId="13825"/>
    <cellStyle name="Note 9 9 2 4" xfId="13826"/>
    <cellStyle name="Note 9 9 2 5" xfId="13827"/>
    <cellStyle name="Note 9 9 2 6" xfId="39576"/>
    <cellStyle name="Note 9 9 2 7" xfId="39577"/>
    <cellStyle name="Note 9 9 2 8" xfId="39578"/>
    <cellStyle name="Note 9 9 3" xfId="13828"/>
    <cellStyle name="Note 9 9 3 2" xfId="13829"/>
    <cellStyle name="Note 9 9 3 3" xfId="13830"/>
    <cellStyle name="Note 9 9 3 4" xfId="13831"/>
    <cellStyle name="Note 9 9 3 5" xfId="13832"/>
    <cellStyle name="Note 9 9 3 6" xfId="39579"/>
    <cellStyle name="Note 9 9 3 7" xfId="39580"/>
    <cellStyle name="Note 9 9 3 8" xfId="39581"/>
    <cellStyle name="Note 9 9 4" xfId="13833"/>
    <cellStyle name="Note 9 9 4 2" xfId="13834"/>
    <cellStyle name="Note 9 9 4 3" xfId="13835"/>
    <cellStyle name="Note 9 9 4 4" xfId="13836"/>
    <cellStyle name="Note 9 9 4 5" xfId="13837"/>
    <cellStyle name="Note 9 9 4 6" xfId="39582"/>
    <cellStyle name="Note 9 9 4 7" xfId="39583"/>
    <cellStyle name="Note 9 9 4 8" xfId="39584"/>
    <cellStyle name="Note 9 9 5" xfId="13838"/>
    <cellStyle name="Note 9 9 5 2" xfId="13839"/>
    <cellStyle name="Note 9 9 5 3" xfId="13840"/>
    <cellStyle name="Note 9 9 5 4" xfId="13841"/>
    <cellStyle name="Note 9 9 5 5" xfId="13842"/>
    <cellStyle name="Note 9 9 5 6" xfId="39585"/>
    <cellStyle name="Note 9 9 5 7" xfId="39586"/>
    <cellStyle name="Note 9 9 5 8" xfId="39587"/>
    <cellStyle name="Note 9 9 6" xfId="13843"/>
    <cellStyle name="Note 9 9 6 2" xfId="13844"/>
    <cellStyle name="Note 9 9 6 3" xfId="13845"/>
    <cellStyle name="Note 9 9 6 4" xfId="13846"/>
    <cellStyle name="Note 9 9 6 5" xfId="13847"/>
    <cellStyle name="Note 9 9 6 6" xfId="39588"/>
    <cellStyle name="Note 9 9 6 7" xfId="39589"/>
    <cellStyle name="Note 9 9 6 8" xfId="39590"/>
    <cellStyle name="Note 9 9 7" xfId="13848"/>
    <cellStyle name="Note 9 9 8" xfId="13849"/>
    <cellStyle name="Note 9 9 9" xfId="13850"/>
    <cellStyle name="Note 90" xfId="13851"/>
    <cellStyle name="Note 90 10" xfId="13852"/>
    <cellStyle name="Note 90 11" xfId="13853"/>
    <cellStyle name="Note 90 12" xfId="39591"/>
    <cellStyle name="Note 90 13" xfId="39592"/>
    <cellStyle name="Note 90 14" xfId="39593"/>
    <cellStyle name="Note 90 2" xfId="13854"/>
    <cellStyle name="Note 90 2 10" xfId="13855"/>
    <cellStyle name="Note 90 2 11" xfId="39594"/>
    <cellStyle name="Note 90 2 12" xfId="39595"/>
    <cellStyle name="Note 90 2 13" xfId="39596"/>
    <cellStyle name="Note 90 2 2" xfId="13856"/>
    <cellStyle name="Note 90 2 2 2" xfId="13857"/>
    <cellStyle name="Note 90 2 2 3" xfId="13858"/>
    <cellStyle name="Note 90 2 2 4" xfId="13859"/>
    <cellStyle name="Note 90 2 2 5" xfId="13860"/>
    <cellStyle name="Note 90 2 2 6" xfId="39597"/>
    <cellStyle name="Note 90 2 2 7" xfId="39598"/>
    <cellStyle name="Note 90 2 2 8" xfId="39599"/>
    <cellStyle name="Note 90 2 3" xfId="13861"/>
    <cellStyle name="Note 90 2 3 2" xfId="13862"/>
    <cellStyle name="Note 90 2 3 3" xfId="13863"/>
    <cellStyle name="Note 90 2 3 4" xfId="13864"/>
    <cellStyle name="Note 90 2 3 5" xfId="13865"/>
    <cellStyle name="Note 90 2 3 6" xfId="39600"/>
    <cellStyle name="Note 90 2 3 7" xfId="39601"/>
    <cellStyle name="Note 90 2 3 8" xfId="39602"/>
    <cellStyle name="Note 90 2 4" xfId="13866"/>
    <cellStyle name="Note 90 2 4 2" xfId="13867"/>
    <cellStyle name="Note 90 2 4 3" xfId="13868"/>
    <cellStyle name="Note 90 2 4 4" xfId="13869"/>
    <cellStyle name="Note 90 2 4 5" xfId="13870"/>
    <cellStyle name="Note 90 2 4 6" xfId="39603"/>
    <cellStyle name="Note 90 2 4 7" xfId="39604"/>
    <cellStyle name="Note 90 2 4 8" xfId="39605"/>
    <cellStyle name="Note 90 2 5" xfId="13871"/>
    <cellStyle name="Note 90 2 5 2" xfId="13872"/>
    <cellStyle name="Note 90 2 5 3" xfId="13873"/>
    <cellStyle name="Note 90 2 5 4" xfId="13874"/>
    <cellStyle name="Note 90 2 5 5" xfId="13875"/>
    <cellStyle name="Note 90 2 5 6" xfId="39606"/>
    <cellStyle name="Note 90 2 5 7" xfId="39607"/>
    <cellStyle name="Note 90 2 5 8" xfId="39608"/>
    <cellStyle name="Note 90 2 6" xfId="13876"/>
    <cellStyle name="Note 90 2 6 2" xfId="13877"/>
    <cellStyle name="Note 90 2 6 3" xfId="13878"/>
    <cellStyle name="Note 90 2 6 4" xfId="13879"/>
    <cellStyle name="Note 90 2 6 5" xfId="13880"/>
    <cellStyle name="Note 90 2 6 6" xfId="39609"/>
    <cellStyle name="Note 90 2 6 7" xfId="39610"/>
    <cellStyle name="Note 90 2 6 8" xfId="39611"/>
    <cellStyle name="Note 90 2 7" xfId="13881"/>
    <cellStyle name="Note 90 2 8" xfId="13882"/>
    <cellStyle name="Note 90 2 9" xfId="13883"/>
    <cellStyle name="Note 90 3" xfId="13884"/>
    <cellStyle name="Note 90 3 2" xfId="13885"/>
    <cellStyle name="Note 90 3 3" xfId="13886"/>
    <cellStyle name="Note 90 3 4" xfId="13887"/>
    <cellStyle name="Note 90 3 5" xfId="13888"/>
    <cellStyle name="Note 90 3 6" xfId="39612"/>
    <cellStyle name="Note 90 3 7" xfId="39613"/>
    <cellStyle name="Note 90 3 8" xfId="39614"/>
    <cellStyle name="Note 90 4" xfId="13889"/>
    <cellStyle name="Note 90 4 2" xfId="13890"/>
    <cellStyle name="Note 90 4 3" xfId="13891"/>
    <cellStyle name="Note 90 4 4" xfId="13892"/>
    <cellStyle name="Note 90 4 5" xfId="13893"/>
    <cellStyle name="Note 90 4 6" xfId="39615"/>
    <cellStyle name="Note 90 4 7" xfId="39616"/>
    <cellStyle name="Note 90 4 8" xfId="39617"/>
    <cellStyle name="Note 90 5" xfId="13894"/>
    <cellStyle name="Note 90 5 2" xfId="13895"/>
    <cellStyle name="Note 90 5 3" xfId="13896"/>
    <cellStyle name="Note 90 5 4" xfId="13897"/>
    <cellStyle name="Note 90 5 5" xfId="13898"/>
    <cellStyle name="Note 90 5 6" xfId="39618"/>
    <cellStyle name="Note 90 5 7" xfId="39619"/>
    <cellStyle name="Note 90 5 8" xfId="39620"/>
    <cellStyle name="Note 90 6" xfId="13899"/>
    <cellStyle name="Note 90 6 2" xfId="13900"/>
    <cellStyle name="Note 90 6 3" xfId="13901"/>
    <cellStyle name="Note 90 6 4" xfId="13902"/>
    <cellStyle name="Note 90 6 5" xfId="13903"/>
    <cellStyle name="Note 90 6 6" xfId="39621"/>
    <cellStyle name="Note 90 6 7" xfId="39622"/>
    <cellStyle name="Note 90 6 8" xfId="39623"/>
    <cellStyle name="Note 90 7" xfId="13904"/>
    <cellStyle name="Note 90 7 2" xfId="13905"/>
    <cellStyle name="Note 90 7 3" xfId="13906"/>
    <cellStyle name="Note 90 7 4" xfId="13907"/>
    <cellStyle name="Note 90 7 5" xfId="13908"/>
    <cellStyle name="Note 90 7 6" xfId="39624"/>
    <cellStyle name="Note 90 7 7" xfId="39625"/>
    <cellStyle name="Note 90 7 8" xfId="39626"/>
    <cellStyle name="Note 90 8" xfId="13909"/>
    <cellStyle name="Note 90 9" xfId="13910"/>
    <cellStyle name="Note 91" xfId="13911"/>
    <cellStyle name="Note 91 10" xfId="13912"/>
    <cellStyle name="Note 91 11" xfId="13913"/>
    <cellStyle name="Note 91 12" xfId="39627"/>
    <cellStyle name="Note 91 13" xfId="39628"/>
    <cellStyle name="Note 91 14" xfId="39629"/>
    <cellStyle name="Note 91 2" xfId="13914"/>
    <cellStyle name="Note 91 2 10" xfId="13915"/>
    <cellStyle name="Note 91 2 11" xfId="39630"/>
    <cellStyle name="Note 91 2 12" xfId="39631"/>
    <cellStyle name="Note 91 2 13" xfId="39632"/>
    <cellStyle name="Note 91 2 2" xfId="13916"/>
    <cellStyle name="Note 91 2 2 2" xfId="13917"/>
    <cellStyle name="Note 91 2 2 3" xfId="13918"/>
    <cellStyle name="Note 91 2 2 4" xfId="13919"/>
    <cellStyle name="Note 91 2 2 5" xfId="13920"/>
    <cellStyle name="Note 91 2 2 6" xfId="39633"/>
    <cellStyle name="Note 91 2 2 7" xfId="39634"/>
    <cellStyle name="Note 91 2 2 8" xfId="39635"/>
    <cellStyle name="Note 91 2 3" xfId="13921"/>
    <cellStyle name="Note 91 2 3 2" xfId="13922"/>
    <cellStyle name="Note 91 2 3 3" xfId="13923"/>
    <cellStyle name="Note 91 2 3 4" xfId="13924"/>
    <cellStyle name="Note 91 2 3 5" xfId="13925"/>
    <cellStyle name="Note 91 2 3 6" xfId="39636"/>
    <cellStyle name="Note 91 2 3 7" xfId="39637"/>
    <cellStyle name="Note 91 2 3 8" xfId="39638"/>
    <cellStyle name="Note 91 2 4" xfId="13926"/>
    <cellStyle name="Note 91 2 4 2" xfId="13927"/>
    <cellStyle name="Note 91 2 4 3" xfId="13928"/>
    <cellStyle name="Note 91 2 4 4" xfId="13929"/>
    <cellStyle name="Note 91 2 4 5" xfId="13930"/>
    <cellStyle name="Note 91 2 4 6" xfId="39639"/>
    <cellStyle name="Note 91 2 4 7" xfId="39640"/>
    <cellStyle name="Note 91 2 4 8" xfId="39641"/>
    <cellStyle name="Note 91 2 5" xfId="13931"/>
    <cellStyle name="Note 91 2 5 2" xfId="13932"/>
    <cellStyle name="Note 91 2 5 3" xfId="13933"/>
    <cellStyle name="Note 91 2 5 4" xfId="13934"/>
    <cellStyle name="Note 91 2 5 5" xfId="13935"/>
    <cellStyle name="Note 91 2 5 6" xfId="39642"/>
    <cellStyle name="Note 91 2 5 7" xfId="39643"/>
    <cellStyle name="Note 91 2 5 8" xfId="39644"/>
    <cellStyle name="Note 91 2 6" xfId="13936"/>
    <cellStyle name="Note 91 2 6 2" xfId="13937"/>
    <cellStyle name="Note 91 2 6 3" xfId="13938"/>
    <cellStyle name="Note 91 2 6 4" xfId="13939"/>
    <cellStyle name="Note 91 2 6 5" xfId="13940"/>
    <cellStyle name="Note 91 2 6 6" xfId="39645"/>
    <cellStyle name="Note 91 2 6 7" xfId="39646"/>
    <cellStyle name="Note 91 2 6 8" xfId="39647"/>
    <cellStyle name="Note 91 2 7" xfId="13941"/>
    <cellStyle name="Note 91 2 8" xfId="13942"/>
    <cellStyle name="Note 91 2 9" xfId="13943"/>
    <cellStyle name="Note 91 3" xfId="13944"/>
    <cellStyle name="Note 91 3 2" xfId="13945"/>
    <cellStyle name="Note 91 3 3" xfId="13946"/>
    <cellStyle name="Note 91 3 4" xfId="13947"/>
    <cellStyle name="Note 91 3 5" xfId="13948"/>
    <cellStyle name="Note 91 3 6" xfId="39648"/>
    <cellStyle name="Note 91 3 7" xfId="39649"/>
    <cellStyle name="Note 91 3 8" xfId="39650"/>
    <cellStyle name="Note 91 4" xfId="13949"/>
    <cellStyle name="Note 91 4 2" xfId="13950"/>
    <cellStyle name="Note 91 4 3" xfId="13951"/>
    <cellStyle name="Note 91 4 4" xfId="13952"/>
    <cellStyle name="Note 91 4 5" xfId="13953"/>
    <cellStyle name="Note 91 4 6" xfId="39651"/>
    <cellStyle name="Note 91 4 7" xfId="39652"/>
    <cellStyle name="Note 91 4 8" xfId="39653"/>
    <cellStyle name="Note 91 5" xfId="13954"/>
    <cellStyle name="Note 91 5 2" xfId="13955"/>
    <cellStyle name="Note 91 5 3" xfId="13956"/>
    <cellStyle name="Note 91 5 4" xfId="13957"/>
    <cellStyle name="Note 91 5 5" xfId="13958"/>
    <cellStyle name="Note 91 5 6" xfId="39654"/>
    <cellStyle name="Note 91 5 7" xfId="39655"/>
    <cellStyle name="Note 91 5 8" xfId="39656"/>
    <cellStyle name="Note 91 6" xfId="13959"/>
    <cellStyle name="Note 91 6 2" xfId="13960"/>
    <cellStyle name="Note 91 6 3" xfId="13961"/>
    <cellStyle name="Note 91 6 4" xfId="13962"/>
    <cellStyle name="Note 91 6 5" xfId="13963"/>
    <cellStyle name="Note 91 6 6" xfId="39657"/>
    <cellStyle name="Note 91 6 7" xfId="39658"/>
    <cellStyle name="Note 91 6 8" xfId="39659"/>
    <cellStyle name="Note 91 7" xfId="13964"/>
    <cellStyle name="Note 91 7 2" xfId="13965"/>
    <cellStyle name="Note 91 7 3" xfId="13966"/>
    <cellStyle name="Note 91 7 4" xfId="13967"/>
    <cellStyle name="Note 91 7 5" xfId="13968"/>
    <cellStyle name="Note 91 7 6" xfId="39660"/>
    <cellStyle name="Note 91 7 7" xfId="39661"/>
    <cellStyle name="Note 91 7 8" xfId="39662"/>
    <cellStyle name="Note 91 8" xfId="13969"/>
    <cellStyle name="Note 91 9" xfId="13970"/>
    <cellStyle name="Note 92" xfId="13971"/>
    <cellStyle name="Note 92 10" xfId="13972"/>
    <cellStyle name="Note 92 11" xfId="13973"/>
    <cellStyle name="Note 92 12" xfId="39663"/>
    <cellStyle name="Note 92 13" xfId="39664"/>
    <cellStyle name="Note 92 14" xfId="39665"/>
    <cellStyle name="Note 92 2" xfId="13974"/>
    <cellStyle name="Note 92 2 10" xfId="13975"/>
    <cellStyle name="Note 92 2 11" xfId="39666"/>
    <cellStyle name="Note 92 2 12" xfId="39667"/>
    <cellStyle name="Note 92 2 13" xfId="39668"/>
    <cellStyle name="Note 92 2 2" xfId="13976"/>
    <cellStyle name="Note 92 2 2 2" xfId="13977"/>
    <cellStyle name="Note 92 2 2 3" xfId="13978"/>
    <cellStyle name="Note 92 2 2 4" xfId="13979"/>
    <cellStyle name="Note 92 2 2 5" xfId="13980"/>
    <cellStyle name="Note 92 2 2 6" xfId="39669"/>
    <cellStyle name="Note 92 2 2 7" xfId="39670"/>
    <cellStyle name="Note 92 2 2 8" xfId="39671"/>
    <cellStyle name="Note 92 2 3" xfId="13981"/>
    <cellStyle name="Note 92 2 3 2" xfId="13982"/>
    <cellStyle name="Note 92 2 3 3" xfId="13983"/>
    <cellStyle name="Note 92 2 3 4" xfId="13984"/>
    <cellStyle name="Note 92 2 3 5" xfId="13985"/>
    <cellStyle name="Note 92 2 3 6" xfId="39672"/>
    <cellStyle name="Note 92 2 3 7" xfId="39673"/>
    <cellStyle name="Note 92 2 3 8" xfId="39674"/>
    <cellStyle name="Note 92 2 4" xfId="13986"/>
    <cellStyle name="Note 92 2 4 2" xfId="13987"/>
    <cellStyle name="Note 92 2 4 3" xfId="13988"/>
    <cellStyle name="Note 92 2 4 4" xfId="13989"/>
    <cellStyle name="Note 92 2 4 5" xfId="13990"/>
    <cellStyle name="Note 92 2 4 6" xfId="39675"/>
    <cellStyle name="Note 92 2 4 7" xfId="39676"/>
    <cellStyle name="Note 92 2 4 8" xfId="39677"/>
    <cellStyle name="Note 92 2 5" xfId="13991"/>
    <cellStyle name="Note 92 2 5 2" xfId="13992"/>
    <cellStyle name="Note 92 2 5 3" xfId="13993"/>
    <cellStyle name="Note 92 2 5 4" xfId="13994"/>
    <cellStyle name="Note 92 2 5 5" xfId="13995"/>
    <cellStyle name="Note 92 2 5 6" xfId="39678"/>
    <cellStyle name="Note 92 2 5 7" xfId="39679"/>
    <cellStyle name="Note 92 2 5 8" xfId="39680"/>
    <cellStyle name="Note 92 2 6" xfId="13996"/>
    <cellStyle name="Note 92 2 6 2" xfId="13997"/>
    <cellStyle name="Note 92 2 6 3" xfId="13998"/>
    <cellStyle name="Note 92 2 6 4" xfId="13999"/>
    <cellStyle name="Note 92 2 6 5" xfId="14000"/>
    <cellStyle name="Note 92 2 6 6" xfId="39681"/>
    <cellStyle name="Note 92 2 6 7" xfId="39682"/>
    <cellStyle name="Note 92 2 6 8" xfId="39683"/>
    <cellStyle name="Note 92 2 7" xfId="14001"/>
    <cellStyle name="Note 92 2 8" xfId="14002"/>
    <cellStyle name="Note 92 2 9" xfId="14003"/>
    <cellStyle name="Note 92 3" xfId="14004"/>
    <cellStyle name="Note 92 3 2" xfId="14005"/>
    <cellStyle name="Note 92 3 3" xfId="14006"/>
    <cellStyle name="Note 92 3 4" xfId="14007"/>
    <cellStyle name="Note 92 3 5" xfId="14008"/>
    <cellStyle name="Note 92 3 6" xfId="39684"/>
    <cellStyle name="Note 92 3 7" xfId="39685"/>
    <cellStyle name="Note 92 3 8" xfId="39686"/>
    <cellStyle name="Note 92 4" xfId="14009"/>
    <cellStyle name="Note 92 4 2" xfId="14010"/>
    <cellStyle name="Note 92 4 3" xfId="14011"/>
    <cellStyle name="Note 92 4 4" xfId="14012"/>
    <cellStyle name="Note 92 4 5" xfId="14013"/>
    <cellStyle name="Note 92 4 6" xfId="39687"/>
    <cellStyle name="Note 92 4 7" xfId="39688"/>
    <cellStyle name="Note 92 4 8" xfId="39689"/>
    <cellStyle name="Note 92 5" xfId="14014"/>
    <cellStyle name="Note 92 5 2" xfId="14015"/>
    <cellStyle name="Note 92 5 3" xfId="14016"/>
    <cellStyle name="Note 92 5 4" xfId="14017"/>
    <cellStyle name="Note 92 5 5" xfId="14018"/>
    <cellStyle name="Note 92 5 6" xfId="39690"/>
    <cellStyle name="Note 92 5 7" xfId="39691"/>
    <cellStyle name="Note 92 5 8" xfId="39692"/>
    <cellStyle name="Note 92 6" xfId="14019"/>
    <cellStyle name="Note 92 6 2" xfId="14020"/>
    <cellStyle name="Note 92 6 3" xfId="14021"/>
    <cellStyle name="Note 92 6 4" xfId="14022"/>
    <cellStyle name="Note 92 6 5" xfId="14023"/>
    <cellStyle name="Note 92 6 6" xfId="39693"/>
    <cellStyle name="Note 92 6 7" xfId="39694"/>
    <cellStyle name="Note 92 6 8" xfId="39695"/>
    <cellStyle name="Note 92 7" xfId="14024"/>
    <cellStyle name="Note 92 7 2" xfId="14025"/>
    <cellStyle name="Note 92 7 3" xfId="14026"/>
    <cellStyle name="Note 92 7 4" xfId="14027"/>
    <cellStyle name="Note 92 7 5" xfId="14028"/>
    <cellStyle name="Note 92 7 6" xfId="39696"/>
    <cellStyle name="Note 92 7 7" xfId="39697"/>
    <cellStyle name="Note 92 7 8" xfId="39698"/>
    <cellStyle name="Note 92 8" xfId="14029"/>
    <cellStyle name="Note 92 9" xfId="14030"/>
    <cellStyle name="Note 93" xfId="14031"/>
    <cellStyle name="Note 93 10" xfId="14032"/>
    <cellStyle name="Note 93 11" xfId="14033"/>
    <cellStyle name="Note 93 12" xfId="39699"/>
    <cellStyle name="Note 93 13" xfId="39700"/>
    <cellStyle name="Note 93 14" xfId="39701"/>
    <cellStyle name="Note 93 2" xfId="14034"/>
    <cellStyle name="Note 93 2 10" xfId="14035"/>
    <cellStyle name="Note 93 2 11" xfId="39702"/>
    <cellStyle name="Note 93 2 12" xfId="39703"/>
    <cellStyle name="Note 93 2 13" xfId="39704"/>
    <cellStyle name="Note 93 2 2" xfId="14036"/>
    <cellStyle name="Note 93 2 2 2" xfId="14037"/>
    <cellStyle name="Note 93 2 2 3" xfId="14038"/>
    <cellStyle name="Note 93 2 2 4" xfId="14039"/>
    <cellStyle name="Note 93 2 2 5" xfId="14040"/>
    <cellStyle name="Note 93 2 2 6" xfId="39705"/>
    <cellStyle name="Note 93 2 2 7" xfId="39706"/>
    <cellStyle name="Note 93 2 2 8" xfId="39707"/>
    <cellStyle name="Note 93 2 3" xfId="14041"/>
    <cellStyle name="Note 93 2 3 2" xfId="14042"/>
    <cellStyle name="Note 93 2 3 3" xfId="14043"/>
    <cellStyle name="Note 93 2 3 4" xfId="14044"/>
    <cellStyle name="Note 93 2 3 5" xfId="14045"/>
    <cellStyle name="Note 93 2 3 6" xfId="39708"/>
    <cellStyle name="Note 93 2 3 7" xfId="39709"/>
    <cellStyle name="Note 93 2 3 8" xfId="39710"/>
    <cellStyle name="Note 93 2 4" xfId="14046"/>
    <cellStyle name="Note 93 2 4 2" xfId="14047"/>
    <cellStyle name="Note 93 2 4 3" xfId="14048"/>
    <cellStyle name="Note 93 2 4 4" xfId="14049"/>
    <cellStyle name="Note 93 2 4 5" xfId="14050"/>
    <cellStyle name="Note 93 2 4 6" xfId="39711"/>
    <cellStyle name="Note 93 2 4 7" xfId="39712"/>
    <cellStyle name="Note 93 2 4 8" xfId="39713"/>
    <cellStyle name="Note 93 2 5" xfId="14051"/>
    <cellStyle name="Note 93 2 5 2" xfId="14052"/>
    <cellStyle name="Note 93 2 5 3" xfId="14053"/>
    <cellStyle name="Note 93 2 5 4" xfId="14054"/>
    <cellStyle name="Note 93 2 5 5" xfId="14055"/>
    <cellStyle name="Note 93 2 5 6" xfId="39714"/>
    <cellStyle name="Note 93 2 5 7" xfId="39715"/>
    <cellStyle name="Note 93 2 5 8" xfId="39716"/>
    <cellStyle name="Note 93 2 6" xfId="14056"/>
    <cellStyle name="Note 93 2 6 2" xfId="14057"/>
    <cellStyle name="Note 93 2 6 3" xfId="14058"/>
    <cellStyle name="Note 93 2 6 4" xfId="14059"/>
    <cellStyle name="Note 93 2 6 5" xfId="14060"/>
    <cellStyle name="Note 93 2 6 6" xfId="39717"/>
    <cellStyle name="Note 93 2 6 7" xfId="39718"/>
    <cellStyle name="Note 93 2 6 8" xfId="39719"/>
    <cellStyle name="Note 93 2 7" xfId="14061"/>
    <cellStyle name="Note 93 2 8" xfId="14062"/>
    <cellStyle name="Note 93 2 9" xfId="14063"/>
    <cellStyle name="Note 93 3" xfId="14064"/>
    <cellStyle name="Note 93 3 2" xfId="14065"/>
    <cellStyle name="Note 93 3 3" xfId="14066"/>
    <cellStyle name="Note 93 3 4" xfId="14067"/>
    <cellStyle name="Note 93 3 5" xfId="14068"/>
    <cellStyle name="Note 93 3 6" xfId="39720"/>
    <cellStyle name="Note 93 3 7" xfId="39721"/>
    <cellStyle name="Note 93 3 8" xfId="39722"/>
    <cellStyle name="Note 93 4" xfId="14069"/>
    <cellStyle name="Note 93 4 2" xfId="14070"/>
    <cellStyle name="Note 93 4 3" xfId="14071"/>
    <cellStyle name="Note 93 4 4" xfId="14072"/>
    <cellStyle name="Note 93 4 5" xfId="14073"/>
    <cellStyle name="Note 93 4 6" xfId="39723"/>
    <cellStyle name="Note 93 4 7" xfId="39724"/>
    <cellStyle name="Note 93 4 8" xfId="39725"/>
    <cellStyle name="Note 93 5" xfId="14074"/>
    <cellStyle name="Note 93 5 2" xfId="14075"/>
    <cellStyle name="Note 93 5 3" xfId="14076"/>
    <cellStyle name="Note 93 5 4" xfId="14077"/>
    <cellStyle name="Note 93 5 5" xfId="14078"/>
    <cellStyle name="Note 93 5 6" xfId="39726"/>
    <cellStyle name="Note 93 5 7" xfId="39727"/>
    <cellStyle name="Note 93 5 8" xfId="39728"/>
    <cellStyle name="Note 93 6" xfId="14079"/>
    <cellStyle name="Note 93 6 2" xfId="14080"/>
    <cellStyle name="Note 93 6 3" xfId="14081"/>
    <cellStyle name="Note 93 6 4" xfId="14082"/>
    <cellStyle name="Note 93 6 5" xfId="14083"/>
    <cellStyle name="Note 93 6 6" xfId="39729"/>
    <cellStyle name="Note 93 6 7" xfId="39730"/>
    <cellStyle name="Note 93 6 8" xfId="39731"/>
    <cellStyle name="Note 93 7" xfId="14084"/>
    <cellStyle name="Note 93 7 2" xfId="14085"/>
    <cellStyle name="Note 93 7 3" xfId="14086"/>
    <cellStyle name="Note 93 7 4" xfId="14087"/>
    <cellStyle name="Note 93 7 5" xfId="14088"/>
    <cellStyle name="Note 93 7 6" xfId="39732"/>
    <cellStyle name="Note 93 7 7" xfId="39733"/>
    <cellStyle name="Note 93 7 8" xfId="39734"/>
    <cellStyle name="Note 93 8" xfId="14089"/>
    <cellStyle name="Note 93 9" xfId="14090"/>
    <cellStyle name="Note 94" xfId="14091"/>
    <cellStyle name="Note 94 10" xfId="14092"/>
    <cellStyle name="Note 94 11" xfId="14093"/>
    <cellStyle name="Note 94 12" xfId="39735"/>
    <cellStyle name="Note 94 13" xfId="39736"/>
    <cellStyle name="Note 94 14" xfId="39737"/>
    <cellStyle name="Note 94 2" xfId="14094"/>
    <cellStyle name="Note 94 2 10" xfId="14095"/>
    <cellStyle name="Note 94 2 11" xfId="39738"/>
    <cellStyle name="Note 94 2 12" xfId="39739"/>
    <cellStyle name="Note 94 2 13" xfId="39740"/>
    <cellStyle name="Note 94 2 2" xfId="14096"/>
    <cellStyle name="Note 94 2 2 2" xfId="14097"/>
    <cellStyle name="Note 94 2 2 3" xfId="14098"/>
    <cellStyle name="Note 94 2 2 4" xfId="14099"/>
    <cellStyle name="Note 94 2 2 5" xfId="14100"/>
    <cellStyle name="Note 94 2 2 6" xfId="39741"/>
    <cellStyle name="Note 94 2 2 7" xfId="39742"/>
    <cellStyle name="Note 94 2 2 8" xfId="39743"/>
    <cellStyle name="Note 94 2 3" xfId="14101"/>
    <cellStyle name="Note 94 2 3 2" xfId="14102"/>
    <cellStyle name="Note 94 2 3 3" xfId="14103"/>
    <cellStyle name="Note 94 2 3 4" xfId="14104"/>
    <cellStyle name="Note 94 2 3 5" xfId="14105"/>
    <cellStyle name="Note 94 2 3 6" xfId="39744"/>
    <cellStyle name="Note 94 2 3 7" xfId="39745"/>
    <cellStyle name="Note 94 2 3 8" xfId="39746"/>
    <cellStyle name="Note 94 2 4" xfId="14106"/>
    <cellStyle name="Note 94 2 4 2" xfId="14107"/>
    <cellStyle name="Note 94 2 4 3" xfId="14108"/>
    <cellStyle name="Note 94 2 4 4" xfId="14109"/>
    <cellStyle name="Note 94 2 4 5" xfId="14110"/>
    <cellStyle name="Note 94 2 4 6" xfId="39747"/>
    <cellStyle name="Note 94 2 4 7" xfId="39748"/>
    <cellStyle name="Note 94 2 4 8" xfId="39749"/>
    <cellStyle name="Note 94 2 5" xfId="14111"/>
    <cellStyle name="Note 94 2 5 2" xfId="14112"/>
    <cellStyle name="Note 94 2 5 3" xfId="14113"/>
    <cellStyle name="Note 94 2 5 4" xfId="14114"/>
    <cellStyle name="Note 94 2 5 5" xfId="14115"/>
    <cellStyle name="Note 94 2 5 6" xfId="39750"/>
    <cellStyle name="Note 94 2 5 7" xfId="39751"/>
    <cellStyle name="Note 94 2 5 8" xfId="39752"/>
    <cellStyle name="Note 94 2 6" xfId="14116"/>
    <cellStyle name="Note 94 2 6 2" xfId="14117"/>
    <cellStyle name="Note 94 2 6 3" xfId="14118"/>
    <cellStyle name="Note 94 2 6 4" xfId="14119"/>
    <cellStyle name="Note 94 2 6 5" xfId="14120"/>
    <cellStyle name="Note 94 2 6 6" xfId="39753"/>
    <cellStyle name="Note 94 2 6 7" xfId="39754"/>
    <cellStyle name="Note 94 2 6 8" xfId="39755"/>
    <cellStyle name="Note 94 2 7" xfId="14121"/>
    <cellStyle name="Note 94 2 8" xfId="14122"/>
    <cellStyle name="Note 94 2 9" xfId="14123"/>
    <cellStyle name="Note 94 3" xfId="14124"/>
    <cellStyle name="Note 94 3 2" xfId="14125"/>
    <cellStyle name="Note 94 3 3" xfId="14126"/>
    <cellStyle name="Note 94 3 4" xfId="14127"/>
    <cellStyle name="Note 94 3 5" xfId="14128"/>
    <cellStyle name="Note 94 3 6" xfId="39756"/>
    <cellStyle name="Note 94 3 7" xfId="39757"/>
    <cellStyle name="Note 94 3 8" xfId="39758"/>
    <cellStyle name="Note 94 4" xfId="14129"/>
    <cellStyle name="Note 94 4 2" xfId="14130"/>
    <cellStyle name="Note 94 4 3" xfId="14131"/>
    <cellStyle name="Note 94 4 4" xfId="14132"/>
    <cellStyle name="Note 94 4 5" xfId="14133"/>
    <cellStyle name="Note 94 4 6" xfId="39759"/>
    <cellStyle name="Note 94 4 7" xfId="39760"/>
    <cellStyle name="Note 94 4 8" xfId="39761"/>
    <cellStyle name="Note 94 5" xfId="14134"/>
    <cellStyle name="Note 94 5 2" xfId="14135"/>
    <cellStyle name="Note 94 5 3" xfId="14136"/>
    <cellStyle name="Note 94 5 4" xfId="14137"/>
    <cellStyle name="Note 94 5 5" xfId="14138"/>
    <cellStyle name="Note 94 5 6" xfId="39762"/>
    <cellStyle name="Note 94 5 7" xfId="39763"/>
    <cellStyle name="Note 94 5 8" xfId="39764"/>
    <cellStyle name="Note 94 6" xfId="14139"/>
    <cellStyle name="Note 94 6 2" xfId="14140"/>
    <cellStyle name="Note 94 6 3" xfId="14141"/>
    <cellStyle name="Note 94 6 4" xfId="14142"/>
    <cellStyle name="Note 94 6 5" xfId="14143"/>
    <cellStyle name="Note 94 6 6" xfId="39765"/>
    <cellStyle name="Note 94 6 7" xfId="39766"/>
    <cellStyle name="Note 94 6 8" xfId="39767"/>
    <cellStyle name="Note 94 7" xfId="14144"/>
    <cellStyle name="Note 94 7 2" xfId="14145"/>
    <cellStyle name="Note 94 7 3" xfId="14146"/>
    <cellStyle name="Note 94 7 4" xfId="14147"/>
    <cellStyle name="Note 94 7 5" xfId="14148"/>
    <cellStyle name="Note 94 7 6" xfId="39768"/>
    <cellStyle name="Note 94 7 7" xfId="39769"/>
    <cellStyle name="Note 94 7 8" xfId="39770"/>
    <cellStyle name="Note 94 8" xfId="14149"/>
    <cellStyle name="Note 94 9" xfId="14150"/>
    <cellStyle name="Note 95" xfId="14151"/>
    <cellStyle name="Note 95 10" xfId="14152"/>
    <cellStyle name="Note 95 11" xfId="14153"/>
    <cellStyle name="Note 95 12" xfId="39771"/>
    <cellStyle name="Note 95 13" xfId="39772"/>
    <cellStyle name="Note 95 14" xfId="39773"/>
    <cellStyle name="Note 95 2" xfId="14154"/>
    <cellStyle name="Note 95 2 10" xfId="14155"/>
    <cellStyle name="Note 95 2 11" xfId="39774"/>
    <cellStyle name="Note 95 2 12" xfId="39775"/>
    <cellStyle name="Note 95 2 13" xfId="39776"/>
    <cellStyle name="Note 95 2 2" xfId="14156"/>
    <cellStyle name="Note 95 2 2 2" xfId="14157"/>
    <cellStyle name="Note 95 2 2 3" xfId="14158"/>
    <cellStyle name="Note 95 2 2 4" xfId="14159"/>
    <cellStyle name="Note 95 2 2 5" xfId="14160"/>
    <cellStyle name="Note 95 2 2 6" xfId="39777"/>
    <cellStyle name="Note 95 2 2 7" xfId="39778"/>
    <cellStyle name="Note 95 2 2 8" xfId="39779"/>
    <cellStyle name="Note 95 2 3" xfId="14161"/>
    <cellStyle name="Note 95 2 3 2" xfId="14162"/>
    <cellStyle name="Note 95 2 3 3" xfId="14163"/>
    <cellStyle name="Note 95 2 3 4" xfId="14164"/>
    <cellStyle name="Note 95 2 3 5" xfId="14165"/>
    <cellStyle name="Note 95 2 3 6" xfId="39780"/>
    <cellStyle name="Note 95 2 3 7" xfId="39781"/>
    <cellStyle name="Note 95 2 3 8" xfId="39782"/>
    <cellStyle name="Note 95 2 4" xfId="14166"/>
    <cellStyle name="Note 95 2 4 2" xfId="14167"/>
    <cellStyle name="Note 95 2 4 3" xfId="14168"/>
    <cellStyle name="Note 95 2 4 4" xfId="14169"/>
    <cellStyle name="Note 95 2 4 5" xfId="14170"/>
    <cellStyle name="Note 95 2 4 6" xfId="39783"/>
    <cellStyle name="Note 95 2 4 7" xfId="39784"/>
    <cellStyle name="Note 95 2 4 8" xfId="39785"/>
    <cellStyle name="Note 95 2 5" xfId="14171"/>
    <cellStyle name="Note 95 2 5 2" xfId="14172"/>
    <cellStyle name="Note 95 2 5 3" xfId="14173"/>
    <cellStyle name="Note 95 2 5 4" xfId="14174"/>
    <cellStyle name="Note 95 2 5 5" xfId="14175"/>
    <cellStyle name="Note 95 2 5 6" xfId="39786"/>
    <cellStyle name="Note 95 2 5 7" xfId="39787"/>
    <cellStyle name="Note 95 2 5 8" xfId="39788"/>
    <cellStyle name="Note 95 2 6" xfId="14176"/>
    <cellStyle name="Note 95 2 6 2" xfId="14177"/>
    <cellStyle name="Note 95 2 6 3" xfId="14178"/>
    <cellStyle name="Note 95 2 6 4" xfId="14179"/>
    <cellStyle name="Note 95 2 6 5" xfId="14180"/>
    <cellStyle name="Note 95 2 6 6" xfId="39789"/>
    <cellStyle name="Note 95 2 6 7" xfId="39790"/>
    <cellStyle name="Note 95 2 6 8" xfId="39791"/>
    <cellStyle name="Note 95 2 7" xfId="14181"/>
    <cellStyle name="Note 95 2 8" xfId="14182"/>
    <cellStyle name="Note 95 2 9" xfId="14183"/>
    <cellStyle name="Note 95 3" xfId="14184"/>
    <cellStyle name="Note 95 3 2" xfId="14185"/>
    <cellStyle name="Note 95 3 3" xfId="14186"/>
    <cellStyle name="Note 95 3 4" xfId="14187"/>
    <cellStyle name="Note 95 3 5" xfId="14188"/>
    <cellStyle name="Note 95 3 6" xfId="39792"/>
    <cellStyle name="Note 95 3 7" xfId="39793"/>
    <cellStyle name="Note 95 3 8" xfId="39794"/>
    <cellStyle name="Note 95 4" xfId="14189"/>
    <cellStyle name="Note 95 4 2" xfId="14190"/>
    <cellStyle name="Note 95 4 3" xfId="14191"/>
    <cellStyle name="Note 95 4 4" xfId="14192"/>
    <cellStyle name="Note 95 4 5" xfId="14193"/>
    <cellStyle name="Note 95 4 6" xfId="39795"/>
    <cellStyle name="Note 95 4 7" xfId="39796"/>
    <cellStyle name="Note 95 4 8" xfId="39797"/>
    <cellStyle name="Note 95 5" xfId="14194"/>
    <cellStyle name="Note 95 5 2" xfId="14195"/>
    <cellStyle name="Note 95 5 3" xfId="14196"/>
    <cellStyle name="Note 95 5 4" xfId="14197"/>
    <cellStyle name="Note 95 5 5" xfId="14198"/>
    <cellStyle name="Note 95 5 6" xfId="39798"/>
    <cellStyle name="Note 95 5 7" xfId="39799"/>
    <cellStyle name="Note 95 5 8" xfId="39800"/>
    <cellStyle name="Note 95 6" xfId="14199"/>
    <cellStyle name="Note 95 6 2" xfId="14200"/>
    <cellStyle name="Note 95 6 3" xfId="14201"/>
    <cellStyle name="Note 95 6 4" xfId="14202"/>
    <cellStyle name="Note 95 6 5" xfId="14203"/>
    <cellStyle name="Note 95 6 6" xfId="39801"/>
    <cellStyle name="Note 95 6 7" xfId="39802"/>
    <cellStyle name="Note 95 6 8" xfId="39803"/>
    <cellStyle name="Note 95 7" xfId="14204"/>
    <cellStyle name="Note 95 7 2" xfId="14205"/>
    <cellStyle name="Note 95 7 3" xfId="14206"/>
    <cellStyle name="Note 95 7 4" xfId="14207"/>
    <cellStyle name="Note 95 7 5" xfId="14208"/>
    <cellStyle name="Note 95 7 6" xfId="39804"/>
    <cellStyle name="Note 95 7 7" xfId="39805"/>
    <cellStyle name="Note 95 7 8" xfId="39806"/>
    <cellStyle name="Note 95 8" xfId="14209"/>
    <cellStyle name="Note 95 9" xfId="14210"/>
    <cellStyle name="Note 96" xfId="14211"/>
    <cellStyle name="Note 96 10" xfId="14212"/>
    <cellStyle name="Note 96 11" xfId="14213"/>
    <cellStyle name="Note 96 12" xfId="39807"/>
    <cellStyle name="Note 96 13" xfId="39808"/>
    <cellStyle name="Note 96 14" xfId="39809"/>
    <cellStyle name="Note 96 2" xfId="14214"/>
    <cellStyle name="Note 96 2 10" xfId="14215"/>
    <cellStyle name="Note 96 2 11" xfId="39810"/>
    <cellStyle name="Note 96 2 12" xfId="39811"/>
    <cellStyle name="Note 96 2 13" xfId="39812"/>
    <cellStyle name="Note 96 2 2" xfId="14216"/>
    <cellStyle name="Note 96 2 2 2" xfId="14217"/>
    <cellStyle name="Note 96 2 2 3" xfId="14218"/>
    <cellStyle name="Note 96 2 2 4" xfId="14219"/>
    <cellStyle name="Note 96 2 2 5" xfId="14220"/>
    <cellStyle name="Note 96 2 2 6" xfId="39813"/>
    <cellStyle name="Note 96 2 2 7" xfId="39814"/>
    <cellStyle name="Note 96 2 2 8" xfId="39815"/>
    <cellStyle name="Note 96 2 3" xfId="14221"/>
    <cellStyle name="Note 96 2 3 2" xfId="14222"/>
    <cellStyle name="Note 96 2 3 3" xfId="14223"/>
    <cellStyle name="Note 96 2 3 4" xfId="14224"/>
    <cellStyle name="Note 96 2 3 5" xfId="14225"/>
    <cellStyle name="Note 96 2 3 6" xfId="39816"/>
    <cellStyle name="Note 96 2 3 7" xfId="39817"/>
    <cellStyle name="Note 96 2 3 8" xfId="39818"/>
    <cellStyle name="Note 96 2 4" xfId="14226"/>
    <cellStyle name="Note 96 2 4 2" xfId="14227"/>
    <cellStyle name="Note 96 2 4 3" xfId="14228"/>
    <cellStyle name="Note 96 2 4 4" xfId="14229"/>
    <cellStyle name="Note 96 2 4 5" xfId="14230"/>
    <cellStyle name="Note 96 2 4 6" xfId="39819"/>
    <cellStyle name="Note 96 2 4 7" xfId="39820"/>
    <cellStyle name="Note 96 2 4 8" xfId="39821"/>
    <cellStyle name="Note 96 2 5" xfId="14231"/>
    <cellStyle name="Note 96 2 5 2" xfId="14232"/>
    <cellStyle name="Note 96 2 5 3" xfId="14233"/>
    <cellStyle name="Note 96 2 5 4" xfId="14234"/>
    <cellStyle name="Note 96 2 5 5" xfId="14235"/>
    <cellStyle name="Note 96 2 5 6" xfId="39822"/>
    <cellStyle name="Note 96 2 5 7" xfId="39823"/>
    <cellStyle name="Note 96 2 5 8" xfId="39824"/>
    <cellStyle name="Note 96 2 6" xfId="14236"/>
    <cellStyle name="Note 96 2 6 2" xfId="14237"/>
    <cellStyle name="Note 96 2 6 3" xfId="14238"/>
    <cellStyle name="Note 96 2 6 4" xfId="14239"/>
    <cellStyle name="Note 96 2 6 5" xfId="14240"/>
    <cellStyle name="Note 96 2 6 6" xfId="39825"/>
    <cellStyle name="Note 96 2 6 7" xfId="39826"/>
    <cellStyle name="Note 96 2 6 8" xfId="39827"/>
    <cellStyle name="Note 96 2 7" xfId="14241"/>
    <cellStyle name="Note 96 2 8" xfId="14242"/>
    <cellStyle name="Note 96 2 9" xfId="14243"/>
    <cellStyle name="Note 96 3" xfId="14244"/>
    <cellStyle name="Note 96 3 2" xfId="14245"/>
    <cellStyle name="Note 96 3 3" xfId="14246"/>
    <cellStyle name="Note 96 3 4" xfId="14247"/>
    <cellStyle name="Note 96 3 5" xfId="14248"/>
    <cellStyle name="Note 96 3 6" xfId="39828"/>
    <cellStyle name="Note 96 3 7" xfId="39829"/>
    <cellStyle name="Note 96 3 8" xfId="39830"/>
    <cellStyle name="Note 96 4" xfId="14249"/>
    <cellStyle name="Note 96 4 2" xfId="14250"/>
    <cellStyle name="Note 96 4 3" xfId="14251"/>
    <cellStyle name="Note 96 4 4" xfId="14252"/>
    <cellStyle name="Note 96 4 5" xfId="14253"/>
    <cellStyle name="Note 96 4 6" xfId="39831"/>
    <cellStyle name="Note 96 4 7" xfId="39832"/>
    <cellStyle name="Note 96 4 8" xfId="39833"/>
    <cellStyle name="Note 96 5" xfId="14254"/>
    <cellStyle name="Note 96 5 2" xfId="14255"/>
    <cellStyle name="Note 96 5 3" xfId="14256"/>
    <cellStyle name="Note 96 5 4" xfId="14257"/>
    <cellStyle name="Note 96 5 5" xfId="14258"/>
    <cellStyle name="Note 96 5 6" xfId="39834"/>
    <cellStyle name="Note 96 5 7" xfId="39835"/>
    <cellStyle name="Note 96 5 8" xfId="39836"/>
    <cellStyle name="Note 96 6" xfId="14259"/>
    <cellStyle name="Note 96 6 2" xfId="14260"/>
    <cellStyle name="Note 96 6 3" xfId="14261"/>
    <cellStyle name="Note 96 6 4" xfId="14262"/>
    <cellStyle name="Note 96 6 5" xfId="14263"/>
    <cellStyle name="Note 96 6 6" xfId="39837"/>
    <cellStyle name="Note 96 6 7" xfId="39838"/>
    <cellStyle name="Note 96 6 8" xfId="39839"/>
    <cellStyle name="Note 96 7" xfId="14264"/>
    <cellStyle name="Note 96 7 2" xfId="14265"/>
    <cellStyle name="Note 96 7 3" xfId="14266"/>
    <cellStyle name="Note 96 7 4" xfId="14267"/>
    <cellStyle name="Note 96 7 5" xfId="14268"/>
    <cellStyle name="Note 96 7 6" xfId="39840"/>
    <cellStyle name="Note 96 7 7" xfId="39841"/>
    <cellStyle name="Note 96 7 8" xfId="39842"/>
    <cellStyle name="Note 96 8" xfId="14269"/>
    <cellStyle name="Note 96 9" xfId="14270"/>
    <cellStyle name="Note 97" xfId="14271"/>
    <cellStyle name="Note 97 10" xfId="14272"/>
    <cellStyle name="Note 97 11" xfId="14273"/>
    <cellStyle name="Note 97 12" xfId="39843"/>
    <cellStyle name="Note 97 13" xfId="39844"/>
    <cellStyle name="Note 97 14" xfId="39845"/>
    <cellStyle name="Note 97 2" xfId="14274"/>
    <cellStyle name="Note 97 2 10" xfId="14275"/>
    <cellStyle name="Note 97 2 11" xfId="39846"/>
    <cellStyle name="Note 97 2 12" xfId="39847"/>
    <cellStyle name="Note 97 2 13" xfId="39848"/>
    <cellStyle name="Note 97 2 2" xfId="14276"/>
    <cellStyle name="Note 97 2 2 2" xfId="14277"/>
    <cellStyle name="Note 97 2 2 3" xfId="14278"/>
    <cellStyle name="Note 97 2 2 4" xfId="14279"/>
    <cellStyle name="Note 97 2 2 5" xfId="14280"/>
    <cellStyle name="Note 97 2 2 6" xfId="39849"/>
    <cellStyle name="Note 97 2 2 7" xfId="39850"/>
    <cellStyle name="Note 97 2 2 8" xfId="39851"/>
    <cellStyle name="Note 97 2 3" xfId="14281"/>
    <cellStyle name="Note 97 2 3 2" xfId="14282"/>
    <cellStyle name="Note 97 2 3 3" xfId="14283"/>
    <cellStyle name="Note 97 2 3 4" xfId="14284"/>
    <cellStyle name="Note 97 2 3 5" xfId="14285"/>
    <cellStyle name="Note 97 2 3 6" xfId="39852"/>
    <cellStyle name="Note 97 2 3 7" xfId="39853"/>
    <cellStyle name="Note 97 2 3 8" xfId="39854"/>
    <cellStyle name="Note 97 2 4" xfId="14286"/>
    <cellStyle name="Note 97 2 4 2" xfId="14287"/>
    <cellStyle name="Note 97 2 4 3" xfId="14288"/>
    <cellStyle name="Note 97 2 4 4" xfId="14289"/>
    <cellStyle name="Note 97 2 4 5" xfId="14290"/>
    <cellStyle name="Note 97 2 4 6" xfId="39855"/>
    <cellStyle name="Note 97 2 4 7" xfId="39856"/>
    <cellStyle name="Note 97 2 4 8" xfId="39857"/>
    <cellStyle name="Note 97 2 5" xfId="14291"/>
    <cellStyle name="Note 97 2 5 2" xfId="14292"/>
    <cellStyle name="Note 97 2 5 3" xfId="14293"/>
    <cellStyle name="Note 97 2 5 4" xfId="14294"/>
    <cellStyle name="Note 97 2 5 5" xfId="14295"/>
    <cellStyle name="Note 97 2 5 6" xfId="39858"/>
    <cellStyle name="Note 97 2 5 7" xfId="39859"/>
    <cellStyle name="Note 97 2 5 8" xfId="39860"/>
    <cellStyle name="Note 97 2 6" xfId="14296"/>
    <cellStyle name="Note 97 2 6 2" xfId="14297"/>
    <cellStyle name="Note 97 2 6 3" xfId="14298"/>
    <cellStyle name="Note 97 2 6 4" xfId="14299"/>
    <cellStyle name="Note 97 2 6 5" xfId="14300"/>
    <cellStyle name="Note 97 2 6 6" xfId="39861"/>
    <cellStyle name="Note 97 2 6 7" xfId="39862"/>
    <cellStyle name="Note 97 2 6 8" xfId="39863"/>
    <cellStyle name="Note 97 2 7" xfId="14301"/>
    <cellStyle name="Note 97 2 8" xfId="14302"/>
    <cellStyle name="Note 97 2 9" xfId="14303"/>
    <cellStyle name="Note 97 3" xfId="14304"/>
    <cellStyle name="Note 97 3 2" xfId="14305"/>
    <cellStyle name="Note 97 3 3" xfId="14306"/>
    <cellStyle name="Note 97 3 4" xfId="14307"/>
    <cellStyle name="Note 97 3 5" xfId="14308"/>
    <cellStyle name="Note 97 3 6" xfId="39864"/>
    <cellStyle name="Note 97 3 7" xfId="39865"/>
    <cellStyle name="Note 97 3 8" xfId="39866"/>
    <cellStyle name="Note 97 4" xfId="14309"/>
    <cellStyle name="Note 97 4 2" xfId="14310"/>
    <cellStyle name="Note 97 4 3" xfId="14311"/>
    <cellStyle name="Note 97 4 4" xfId="14312"/>
    <cellStyle name="Note 97 4 5" xfId="14313"/>
    <cellStyle name="Note 97 4 6" xfId="39867"/>
    <cellStyle name="Note 97 4 7" xfId="39868"/>
    <cellStyle name="Note 97 4 8" xfId="39869"/>
    <cellStyle name="Note 97 5" xfId="14314"/>
    <cellStyle name="Note 97 5 2" xfId="14315"/>
    <cellStyle name="Note 97 5 3" xfId="14316"/>
    <cellStyle name="Note 97 5 4" xfId="14317"/>
    <cellStyle name="Note 97 5 5" xfId="14318"/>
    <cellStyle name="Note 97 5 6" xfId="39870"/>
    <cellStyle name="Note 97 5 7" xfId="39871"/>
    <cellStyle name="Note 97 5 8" xfId="39872"/>
    <cellStyle name="Note 97 6" xfId="14319"/>
    <cellStyle name="Note 97 6 2" xfId="14320"/>
    <cellStyle name="Note 97 6 3" xfId="14321"/>
    <cellStyle name="Note 97 6 4" xfId="14322"/>
    <cellStyle name="Note 97 6 5" xfId="14323"/>
    <cellStyle name="Note 97 6 6" xfId="39873"/>
    <cellStyle name="Note 97 6 7" xfId="39874"/>
    <cellStyle name="Note 97 6 8" xfId="39875"/>
    <cellStyle name="Note 97 7" xfId="14324"/>
    <cellStyle name="Note 97 7 2" xfId="14325"/>
    <cellStyle name="Note 97 7 3" xfId="14326"/>
    <cellStyle name="Note 97 7 4" xfId="14327"/>
    <cellStyle name="Note 97 7 5" xfId="14328"/>
    <cellStyle name="Note 97 7 6" xfId="39876"/>
    <cellStyle name="Note 97 7 7" xfId="39877"/>
    <cellStyle name="Note 97 7 8" xfId="39878"/>
    <cellStyle name="Note 97 8" xfId="14329"/>
    <cellStyle name="Note 97 9" xfId="14330"/>
    <cellStyle name="Note 98" xfId="14331"/>
    <cellStyle name="Note 98 10" xfId="14332"/>
    <cellStyle name="Note 98 11" xfId="14333"/>
    <cellStyle name="Note 98 12" xfId="39879"/>
    <cellStyle name="Note 98 13" xfId="39880"/>
    <cellStyle name="Note 98 14" xfId="39881"/>
    <cellStyle name="Note 98 2" xfId="14334"/>
    <cellStyle name="Note 98 2 10" xfId="14335"/>
    <cellStyle name="Note 98 2 11" xfId="39882"/>
    <cellStyle name="Note 98 2 12" xfId="39883"/>
    <cellStyle name="Note 98 2 13" xfId="39884"/>
    <cellStyle name="Note 98 2 2" xfId="14336"/>
    <cellStyle name="Note 98 2 2 2" xfId="14337"/>
    <cellStyle name="Note 98 2 2 3" xfId="14338"/>
    <cellStyle name="Note 98 2 2 4" xfId="14339"/>
    <cellStyle name="Note 98 2 2 5" xfId="14340"/>
    <cellStyle name="Note 98 2 2 6" xfId="39885"/>
    <cellStyle name="Note 98 2 2 7" xfId="39886"/>
    <cellStyle name="Note 98 2 2 8" xfId="39887"/>
    <cellStyle name="Note 98 2 3" xfId="14341"/>
    <cellStyle name="Note 98 2 3 2" xfId="14342"/>
    <cellStyle name="Note 98 2 3 3" xfId="14343"/>
    <cellStyle name="Note 98 2 3 4" xfId="14344"/>
    <cellStyle name="Note 98 2 3 5" xfId="14345"/>
    <cellStyle name="Note 98 2 3 6" xfId="39888"/>
    <cellStyle name="Note 98 2 3 7" xfId="39889"/>
    <cellStyle name="Note 98 2 3 8" xfId="39890"/>
    <cellStyle name="Note 98 2 4" xfId="14346"/>
    <cellStyle name="Note 98 2 4 2" xfId="14347"/>
    <cellStyle name="Note 98 2 4 3" xfId="14348"/>
    <cellStyle name="Note 98 2 4 4" xfId="14349"/>
    <cellStyle name="Note 98 2 4 5" xfId="14350"/>
    <cellStyle name="Note 98 2 4 6" xfId="39891"/>
    <cellStyle name="Note 98 2 4 7" xfId="39892"/>
    <cellStyle name="Note 98 2 4 8" xfId="39893"/>
    <cellStyle name="Note 98 2 5" xfId="14351"/>
    <cellStyle name="Note 98 2 5 2" xfId="14352"/>
    <cellStyle name="Note 98 2 5 3" xfId="14353"/>
    <cellStyle name="Note 98 2 5 4" xfId="14354"/>
    <cellStyle name="Note 98 2 5 5" xfId="14355"/>
    <cellStyle name="Note 98 2 5 6" xfId="39894"/>
    <cellStyle name="Note 98 2 5 7" xfId="39895"/>
    <cellStyle name="Note 98 2 5 8" xfId="39896"/>
    <cellStyle name="Note 98 2 6" xfId="14356"/>
    <cellStyle name="Note 98 2 6 2" xfId="14357"/>
    <cellStyle name="Note 98 2 6 3" xfId="14358"/>
    <cellStyle name="Note 98 2 6 4" xfId="14359"/>
    <cellStyle name="Note 98 2 6 5" xfId="14360"/>
    <cellStyle name="Note 98 2 6 6" xfId="39897"/>
    <cellStyle name="Note 98 2 6 7" xfId="39898"/>
    <cellStyle name="Note 98 2 6 8" xfId="39899"/>
    <cellStyle name="Note 98 2 7" xfId="14361"/>
    <cellStyle name="Note 98 2 8" xfId="14362"/>
    <cellStyle name="Note 98 2 9" xfId="14363"/>
    <cellStyle name="Note 98 3" xfId="14364"/>
    <cellStyle name="Note 98 3 2" xfId="14365"/>
    <cellStyle name="Note 98 3 3" xfId="14366"/>
    <cellStyle name="Note 98 3 4" xfId="14367"/>
    <cellStyle name="Note 98 3 5" xfId="14368"/>
    <cellStyle name="Note 98 3 6" xfId="39900"/>
    <cellStyle name="Note 98 3 7" xfId="39901"/>
    <cellStyle name="Note 98 3 8" xfId="39902"/>
    <cellStyle name="Note 98 4" xfId="14369"/>
    <cellStyle name="Note 98 4 2" xfId="14370"/>
    <cellStyle name="Note 98 4 3" xfId="14371"/>
    <cellStyle name="Note 98 4 4" xfId="14372"/>
    <cellStyle name="Note 98 4 5" xfId="14373"/>
    <cellStyle name="Note 98 4 6" xfId="39903"/>
    <cellStyle name="Note 98 4 7" xfId="39904"/>
    <cellStyle name="Note 98 4 8" xfId="39905"/>
    <cellStyle name="Note 98 5" xfId="14374"/>
    <cellStyle name="Note 98 5 2" xfId="14375"/>
    <cellStyle name="Note 98 5 3" xfId="14376"/>
    <cellStyle name="Note 98 5 4" xfId="14377"/>
    <cellStyle name="Note 98 5 5" xfId="14378"/>
    <cellStyle name="Note 98 5 6" xfId="39906"/>
    <cellStyle name="Note 98 5 7" xfId="39907"/>
    <cellStyle name="Note 98 5 8" xfId="39908"/>
    <cellStyle name="Note 98 6" xfId="14379"/>
    <cellStyle name="Note 98 6 2" xfId="14380"/>
    <cellStyle name="Note 98 6 3" xfId="14381"/>
    <cellStyle name="Note 98 6 4" xfId="14382"/>
    <cellStyle name="Note 98 6 5" xfId="14383"/>
    <cellStyle name="Note 98 6 6" xfId="39909"/>
    <cellStyle name="Note 98 6 7" xfId="39910"/>
    <cellStyle name="Note 98 6 8" xfId="39911"/>
    <cellStyle name="Note 98 7" xfId="14384"/>
    <cellStyle name="Note 98 7 2" xfId="14385"/>
    <cellStyle name="Note 98 7 3" xfId="14386"/>
    <cellStyle name="Note 98 7 4" xfId="14387"/>
    <cellStyle name="Note 98 7 5" xfId="14388"/>
    <cellStyle name="Note 98 7 6" xfId="39912"/>
    <cellStyle name="Note 98 7 7" xfId="39913"/>
    <cellStyle name="Note 98 7 8" xfId="39914"/>
    <cellStyle name="Note 98 8" xfId="14389"/>
    <cellStyle name="Note 98 9" xfId="14390"/>
    <cellStyle name="Note 99" xfId="14391"/>
    <cellStyle name="Note 99 10" xfId="14392"/>
    <cellStyle name="Note 99 11" xfId="14393"/>
    <cellStyle name="Note 99 12" xfId="39915"/>
    <cellStyle name="Note 99 13" xfId="39916"/>
    <cellStyle name="Note 99 14" xfId="39917"/>
    <cellStyle name="Note 99 2" xfId="14394"/>
    <cellStyle name="Note 99 2 10" xfId="14395"/>
    <cellStyle name="Note 99 2 11" xfId="39918"/>
    <cellStyle name="Note 99 2 12" xfId="39919"/>
    <cellStyle name="Note 99 2 13" xfId="39920"/>
    <cellStyle name="Note 99 2 2" xfId="14396"/>
    <cellStyle name="Note 99 2 2 2" xfId="14397"/>
    <cellStyle name="Note 99 2 2 3" xfId="14398"/>
    <cellStyle name="Note 99 2 2 4" xfId="14399"/>
    <cellStyle name="Note 99 2 2 5" xfId="14400"/>
    <cellStyle name="Note 99 2 2 6" xfId="39921"/>
    <cellStyle name="Note 99 2 2 7" xfId="39922"/>
    <cellStyle name="Note 99 2 2 8" xfId="39923"/>
    <cellStyle name="Note 99 2 3" xfId="14401"/>
    <cellStyle name="Note 99 2 3 2" xfId="14402"/>
    <cellStyle name="Note 99 2 3 3" xfId="14403"/>
    <cellStyle name="Note 99 2 3 4" xfId="14404"/>
    <cellStyle name="Note 99 2 3 5" xfId="14405"/>
    <cellStyle name="Note 99 2 3 6" xfId="39924"/>
    <cellStyle name="Note 99 2 3 7" xfId="39925"/>
    <cellStyle name="Note 99 2 3 8" xfId="39926"/>
    <cellStyle name="Note 99 2 4" xfId="14406"/>
    <cellStyle name="Note 99 2 4 2" xfId="14407"/>
    <cellStyle name="Note 99 2 4 3" xfId="14408"/>
    <cellStyle name="Note 99 2 4 4" xfId="14409"/>
    <cellStyle name="Note 99 2 4 5" xfId="14410"/>
    <cellStyle name="Note 99 2 4 6" xfId="39927"/>
    <cellStyle name="Note 99 2 4 7" xfId="39928"/>
    <cellStyle name="Note 99 2 4 8" xfId="39929"/>
    <cellStyle name="Note 99 2 5" xfId="14411"/>
    <cellStyle name="Note 99 2 5 2" xfId="14412"/>
    <cellStyle name="Note 99 2 5 3" xfId="14413"/>
    <cellStyle name="Note 99 2 5 4" xfId="14414"/>
    <cellStyle name="Note 99 2 5 5" xfId="14415"/>
    <cellStyle name="Note 99 2 5 6" xfId="39930"/>
    <cellStyle name="Note 99 2 5 7" xfId="39931"/>
    <cellStyle name="Note 99 2 5 8" xfId="39932"/>
    <cellStyle name="Note 99 2 6" xfId="14416"/>
    <cellStyle name="Note 99 2 6 2" xfId="14417"/>
    <cellStyle name="Note 99 2 6 3" xfId="14418"/>
    <cellStyle name="Note 99 2 6 4" xfId="14419"/>
    <cellStyle name="Note 99 2 6 5" xfId="14420"/>
    <cellStyle name="Note 99 2 6 6" xfId="39933"/>
    <cellStyle name="Note 99 2 6 7" xfId="39934"/>
    <cellStyle name="Note 99 2 6 8" xfId="39935"/>
    <cellStyle name="Note 99 2 7" xfId="14421"/>
    <cellStyle name="Note 99 2 8" xfId="14422"/>
    <cellStyle name="Note 99 2 9" xfId="14423"/>
    <cellStyle name="Note 99 3" xfId="14424"/>
    <cellStyle name="Note 99 3 2" xfId="14425"/>
    <cellStyle name="Note 99 3 3" xfId="14426"/>
    <cellStyle name="Note 99 3 4" xfId="14427"/>
    <cellStyle name="Note 99 3 5" xfId="14428"/>
    <cellStyle name="Note 99 3 6" xfId="39936"/>
    <cellStyle name="Note 99 3 7" xfId="39937"/>
    <cellStyle name="Note 99 3 8" xfId="39938"/>
    <cellStyle name="Note 99 4" xfId="14429"/>
    <cellStyle name="Note 99 4 2" xfId="14430"/>
    <cellStyle name="Note 99 4 3" xfId="14431"/>
    <cellStyle name="Note 99 4 4" xfId="14432"/>
    <cellStyle name="Note 99 4 5" xfId="14433"/>
    <cellStyle name="Note 99 4 6" xfId="39939"/>
    <cellStyle name="Note 99 4 7" xfId="39940"/>
    <cellStyle name="Note 99 4 8" xfId="39941"/>
    <cellStyle name="Note 99 5" xfId="14434"/>
    <cellStyle name="Note 99 5 2" xfId="14435"/>
    <cellStyle name="Note 99 5 3" xfId="14436"/>
    <cellStyle name="Note 99 5 4" xfId="14437"/>
    <cellStyle name="Note 99 5 5" xfId="14438"/>
    <cellStyle name="Note 99 5 6" xfId="39942"/>
    <cellStyle name="Note 99 5 7" xfId="39943"/>
    <cellStyle name="Note 99 5 8" xfId="39944"/>
    <cellStyle name="Note 99 6" xfId="14439"/>
    <cellStyle name="Note 99 6 2" xfId="14440"/>
    <cellStyle name="Note 99 6 3" xfId="14441"/>
    <cellStyle name="Note 99 6 4" xfId="14442"/>
    <cellStyle name="Note 99 6 5" xfId="14443"/>
    <cellStyle name="Note 99 6 6" xfId="39945"/>
    <cellStyle name="Note 99 6 7" xfId="39946"/>
    <cellStyle name="Note 99 6 8" xfId="39947"/>
    <cellStyle name="Note 99 7" xfId="14444"/>
    <cellStyle name="Note 99 7 2" xfId="14445"/>
    <cellStyle name="Note 99 7 3" xfId="14446"/>
    <cellStyle name="Note 99 7 4" xfId="14447"/>
    <cellStyle name="Note 99 7 5" xfId="14448"/>
    <cellStyle name="Note 99 7 6" xfId="39948"/>
    <cellStyle name="Note 99 7 7" xfId="39949"/>
    <cellStyle name="Note 99 7 8" xfId="39950"/>
    <cellStyle name="Note 99 8" xfId="14449"/>
    <cellStyle name="Note 99 9" xfId="14450"/>
    <cellStyle name="Output 10" xfId="39951"/>
    <cellStyle name="Output 10 2" xfId="39952"/>
    <cellStyle name="Output 10 3" xfId="39953"/>
    <cellStyle name="Output 11" xfId="39954"/>
    <cellStyle name="Output 12" xfId="39955"/>
    <cellStyle name="Output 13" xfId="39956"/>
    <cellStyle name="Output 13 2" xfId="39957"/>
    <cellStyle name="Output 13 3" xfId="39958"/>
    <cellStyle name="Output 14" xfId="40392"/>
    <cellStyle name="Output 15" xfId="40393"/>
    <cellStyle name="Output 16" xfId="40394"/>
    <cellStyle name="Output 2" xfId="39959"/>
    <cellStyle name="Output 2 2" xfId="39960"/>
    <cellStyle name="Output 2 3" xfId="39961"/>
    <cellStyle name="Output 2 4" xfId="39962"/>
    <cellStyle name="Output 2 5" xfId="39963"/>
    <cellStyle name="Output 2 6" xfId="39964"/>
    <cellStyle name="Output 3" xfId="39965"/>
    <cellStyle name="Output 4" xfId="39966"/>
    <cellStyle name="Output 5" xfId="39967"/>
    <cellStyle name="Output 6" xfId="39968"/>
    <cellStyle name="Output 7" xfId="39969"/>
    <cellStyle name="Output 7 2" xfId="39970"/>
    <cellStyle name="Output 7 3" xfId="39971"/>
    <cellStyle name="Output 8" xfId="39972"/>
    <cellStyle name="Output 8 2" xfId="39973"/>
    <cellStyle name="Output 8 3" xfId="39974"/>
    <cellStyle name="Output 9" xfId="39975"/>
    <cellStyle name="Percent" xfId="40082" builtinId="5"/>
    <cellStyle name="Percent 10" xfId="39976"/>
    <cellStyle name="Percent 100" xfId="40395"/>
    <cellStyle name="Percent 11" xfId="39977"/>
    <cellStyle name="Percent 12" xfId="40090"/>
    <cellStyle name="Percent 13" xfId="40396"/>
    <cellStyle name="Percent 13 2" xfId="40397"/>
    <cellStyle name="Percent 14" xfId="40398"/>
    <cellStyle name="Percent 15" xfId="40399"/>
    <cellStyle name="Percent 16" xfId="40400"/>
    <cellStyle name="Percent 17" xfId="40401"/>
    <cellStyle name="Percent 18" xfId="40402"/>
    <cellStyle name="Percent 19" xfId="40403"/>
    <cellStyle name="Percent 2" xfId="14451"/>
    <cellStyle name="Percent 2 2" xfId="14452"/>
    <cellStyle name="Percent 2 3" xfId="14453"/>
    <cellStyle name="Percent 2 4" xfId="14454"/>
    <cellStyle name="Percent 2 5" xfId="39978"/>
    <cellStyle name="Percent 2 6" xfId="39979"/>
    <cellStyle name="Percent 2 7" xfId="39980"/>
    <cellStyle name="Percent 2 8" xfId="39981"/>
    <cellStyle name="Percent 21" xfId="40404"/>
    <cellStyle name="Percent 23" xfId="40405"/>
    <cellStyle name="Percent 25" xfId="40406"/>
    <cellStyle name="Percent 27" xfId="40407"/>
    <cellStyle name="Percent 29" xfId="40408"/>
    <cellStyle name="Percent 3" xfId="14455"/>
    <cellStyle name="Percent 3 2" xfId="39982"/>
    <cellStyle name="Percent 3 2 2" xfId="39983"/>
    <cellStyle name="Percent 3 2 3" xfId="39984"/>
    <cellStyle name="Percent 3 3" xfId="39985"/>
    <cellStyle name="Percent 3 3 2" xfId="39986"/>
    <cellStyle name="Percent 3 3 3" xfId="39987"/>
    <cellStyle name="Percent 3 4" xfId="39988"/>
    <cellStyle name="Percent 3 5" xfId="39989"/>
    <cellStyle name="Percent 31" xfId="40409"/>
    <cellStyle name="Percent 33" xfId="40410"/>
    <cellStyle name="Percent 35" xfId="40411"/>
    <cellStyle name="Percent 37" xfId="40412"/>
    <cellStyle name="Percent 39" xfId="40413"/>
    <cellStyle name="Percent 4" xfId="14456"/>
    <cellStyle name="Percent 4 2" xfId="39990"/>
    <cellStyle name="Percent 4 3" xfId="39991"/>
    <cellStyle name="Percent 41" xfId="40414"/>
    <cellStyle name="Percent 43" xfId="40415"/>
    <cellStyle name="Percent 45" xfId="40416"/>
    <cellStyle name="Percent 47" xfId="40417"/>
    <cellStyle name="Percent 49" xfId="40418"/>
    <cellStyle name="Percent 5" xfId="14459"/>
    <cellStyle name="Percent 5 2" xfId="39992"/>
    <cellStyle name="Percent 5 3" xfId="39993"/>
    <cellStyle name="Percent 5 4" xfId="40066"/>
    <cellStyle name="Percent 5 4 2" xfId="40093"/>
    <cellStyle name="Percent 51" xfId="40419"/>
    <cellStyle name="Percent 53" xfId="40420"/>
    <cellStyle name="Percent 55" xfId="40421"/>
    <cellStyle name="Percent 57" xfId="40422"/>
    <cellStyle name="Percent 59" xfId="40423"/>
    <cellStyle name="Percent 6" xfId="39994"/>
    <cellStyle name="Percent 6 2" xfId="39995"/>
    <cellStyle name="Percent 6 3" xfId="39996"/>
    <cellStyle name="Percent 61" xfId="40424"/>
    <cellStyle name="Percent 63" xfId="40425"/>
    <cellStyle name="Percent 66" xfId="40426"/>
    <cellStyle name="Percent 67" xfId="40427"/>
    <cellStyle name="Percent 7" xfId="39997"/>
    <cellStyle name="Percent 7 2" xfId="39998"/>
    <cellStyle name="Percent 7 3" xfId="39999"/>
    <cellStyle name="Percent 70" xfId="40428"/>
    <cellStyle name="Percent 72" xfId="40429"/>
    <cellStyle name="Percent 73" xfId="40430"/>
    <cellStyle name="Percent 76" xfId="40431"/>
    <cellStyle name="Percent 78" xfId="40432"/>
    <cellStyle name="Percent 8" xfId="40000"/>
    <cellStyle name="Percent 80" xfId="40433"/>
    <cellStyle name="Percent 82" xfId="40434"/>
    <cellStyle name="Percent 84" xfId="40435"/>
    <cellStyle name="Percent 86" xfId="40436"/>
    <cellStyle name="Percent 88" xfId="40437"/>
    <cellStyle name="Percent 9" xfId="40001"/>
    <cellStyle name="Percent 90" xfId="40438"/>
    <cellStyle name="Percent 92" xfId="40439"/>
    <cellStyle name="Percent 94" xfId="40440"/>
    <cellStyle name="Percent 96" xfId="40441"/>
    <cellStyle name="Percent 98" xfId="40442"/>
    <cellStyle name="Perse" xfId="40002"/>
    <cellStyle name="Reset  - Style7" xfId="40003"/>
    <cellStyle name="Reset range style to defaults" xfId="40004"/>
    <cellStyle name="Reset range style to defaults 2" xfId="40443"/>
    <cellStyle name="Table  - Style6" xfId="40005"/>
    <cellStyle name="Title  - Style1" xfId="40006"/>
    <cellStyle name="Title 10" xfId="40007"/>
    <cellStyle name="Title 11" xfId="40008"/>
    <cellStyle name="Title 12" xfId="40009"/>
    <cellStyle name="Title 13" xfId="40010"/>
    <cellStyle name="Title 14" xfId="40444"/>
    <cellStyle name="Title 15" xfId="40445"/>
    <cellStyle name="Title 16" xfId="40446"/>
    <cellStyle name="Title 17" xfId="40447"/>
    <cellStyle name="Title 18" xfId="40448"/>
    <cellStyle name="Title 19" xfId="40449"/>
    <cellStyle name="Title 2" xfId="40011"/>
    <cellStyle name="Title 2 2" xfId="40012"/>
    <cellStyle name="Title 2 3" xfId="40013"/>
    <cellStyle name="Title 2 4" xfId="40014"/>
    <cellStyle name="Title 2 5" xfId="40015"/>
    <cellStyle name="Title 2 6" xfId="40016"/>
    <cellStyle name="Title 20" xfId="40450"/>
    <cellStyle name="Title 21" xfId="40451"/>
    <cellStyle name="Title 22" xfId="40452"/>
    <cellStyle name="Title 23" xfId="40453"/>
    <cellStyle name="Title 24" xfId="40454"/>
    <cellStyle name="Title 25" xfId="40455"/>
    <cellStyle name="Title 26" xfId="40456"/>
    <cellStyle name="Title 27" xfId="40457"/>
    <cellStyle name="Title 28" xfId="40458"/>
    <cellStyle name="Title 29" xfId="40459"/>
    <cellStyle name="Title 3" xfId="40017"/>
    <cellStyle name="Title 30" xfId="40460"/>
    <cellStyle name="Title 4" xfId="40018"/>
    <cellStyle name="Title 5" xfId="40019"/>
    <cellStyle name="Title 6" xfId="40020"/>
    <cellStyle name="Title 7" xfId="40021"/>
    <cellStyle name="Title 8" xfId="40022"/>
    <cellStyle name="Title 9" xfId="40023"/>
    <cellStyle name="Total 10" xfId="40024"/>
    <cellStyle name="Total 11" xfId="40025"/>
    <cellStyle name="Total 12" xfId="40026"/>
    <cellStyle name="Total 13" xfId="40027"/>
    <cellStyle name="Total 13 2" xfId="40028"/>
    <cellStyle name="Total 13 3" xfId="40029"/>
    <cellStyle name="Total 14" xfId="40461"/>
    <cellStyle name="Total 15" xfId="40462"/>
    <cellStyle name="Total 2" xfId="40030"/>
    <cellStyle name="Total 2 2" xfId="40031"/>
    <cellStyle name="Total 2 3" xfId="40032"/>
    <cellStyle name="Total 2 4" xfId="40033"/>
    <cellStyle name="Total 2 5" xfId="40034"/>
    <cellStyle name="Total 2 6" xfId="40035"/>
    <cellStyle name="Total 3" xfId="40036"/>
    <cellStyle name="Total 4" xfId="40037"/>
    <cellStyle name="Total 5" xfId="40038"/>
    <cellStyle name="Total 6" xfId="40039"/>
    <cellStyle name="Total 7" xfId="40040"/>
    <cellStyle name="Total 8" xfId="40041"/>
    <cellStyle name="Total 9" xfId="40042"/>
    <cellStyle name="TotCol - Style5" xfId="40043"/>
    <cellStyle name="TotRow - Style4" xfId="40044"/>
    <cellStyle name="Warning Text 10" xfId="40045"/>
    <cellStyle name="Warning Text 11" xfId="40046"/>
    <cellStyle name="Warning Text 12" xfId="40047"/>
    <cellStyle name="Warning Text 13" xfId="40048"/>
    <cellStyle name="Warning Text 13 2" xfId="40049"/>
    <cellStyle name="Warning Text 13 3" xfId="40050"/>
    <cellStyle name="Warning Text 14" xfId="40463"/>
    <cellStyle name="Warning Text 15" xfId="40464"/>
    <cellStyle name="Warning Text 2" xfId="40051"/>
    <cellStyle name="Warning Text 2 2" xfId="40052"/>
    <cellStyle name="Warning Text 2 3" xfId="40053"/>
    <cellStyle name="Warning Text 2 4" xfId="40054"/>
    <cellStyle name="Warning Text 2 5" xfId="40055"/>
    <cellStyle name="Warning Text 2 6" xfId="40056"/>
    <cellStyle name="Warning Text 3" xfId="40057"/>
    <cellStyle name="Warning Text 4" xfId="40058"/>
    <cellStyle name="Warning Text 5" xfId="40059"/>
    <cellStyle name="Warning Text 6" xfId="40060"/>
    <cellStyle name="Warning Text 7" xfId="40061"/>
    <cellStyle name="Warning Text 8" xfId="40062"/>
    <cellStyle name="Warning Text 9" xfId="40063"/>
  </cellStyles>
  <dxfs count="0"/>
  <tableStyles count="0" defaultTableStyle="TableStyleMedium2" defaultPivotStyle="PivotStyleLight16"/>
  <colors>
    <mruColors>
      <color rgb="FF57BD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36182</xdr:colOff>
      <xdr:row>1</xdr:row>
      <xdr:rowOff>27781</xdr:rowOff>
    </xdr:from>
    <xdr:to>
      <xdr:col>12</xdr:col>
      <xdr:colOff>3967</xdr:colOff>
      <xdr:row>52</xdr:row>
      <xdr:rowOff>43656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3401" y="218281"/>
          <a:ext cx="7147254" cy="9731375"/>
        </a:xfrm>
        <a:prstGeom prst="rect">
          <a:avLst/>
        </a:prstGeom>
      </xdr:spPr>
    </xdr:pic>
    <xdr:clientData/>
  </xdr:twoCellAnchor>
  <xdr:twoCellAnchor editAs="oneCell">
    <xdr:from>
      <xdr:col>10</xdr:col>
      <xdr:colOff>277813</xdr:colOff>
      <xdr:row>52</xdr:row>
      <xdr:rowOff>130970</xdr:rowOff>
    </xdr:from>
    <xdr:to>
      <xdr:col>11</xdr:col>
      <xdr:colOff>674688</xdr:colOff>
      <xdr:row>55</xdr:row>
      <xdr:rowOff>96196</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6516688" y="10036970"/>
          <a:ext cx="1170781" cy="7272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152401</xdr:colOff>
      <xdr:row>40</xdr:row>
      <xdr:rowOff>152400</xdr:rowOff>
    </xdr:from>
    <xdr:to>
      <xdr:col>6</xdr:col>
      <xdr:colOff>114301</xdr:colOff>
      <xdr:row>47</xdr:row>
      <xdr:rowOff>123825</xdr:rowOff>
    </xdr:to>
    <xdr:pic>
      <xdr:nvPicPr>
        <xdr:cNvPr id="2" name="Picture 1" descr="C:\Users\buddhika\AppData\Local\Microsoft\Windows\Temporary Internet Files\Content.IE5\LL3960B1\Untitled-1 copy.jpg"/>
        <xdr:cNvPicPr/>
      </xdr:nvPicPr>
      <xdr:blipFill>
        <a:blip xmlns:r="http://schemas.openxmlformats.org/officeDocument/2006/relationships" r:embed="rId1" cstate="print"/>
        <a:srcRect/>
        <a:stretch>
          <a:fillRect/>
        </a:stretch>
      </xdr:blipFill>
      <xdr:spPr bwMode="auto">
        <a:xfrm>
          <a:off x="1981201" y="7067550"/>
          <a:ext cx="1790700" cy="1104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635000</xdr:colOff>
      <xdr:row>55</xdr:row>
      <xdr:rowOff>127000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7270750" cy="10604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03.189\share%20as%20at%2019.04.2010\Pradeep%200405\DCSL\DCSL\0910\Audited%20Tax%200910%20DCSL%20Final%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User\AppData\Local\Temp\IM\asela\Ceymac%20Dec%2007%20checked%20asel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Documents%20and%20Settings\FINANCE\Application%20Data\Microsoft\Excel\core%20consol%20TB%2031.03.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Documents%20and%20Settings\ah\Desktop\IFRS%20%20Financial%20Statement%20Group%20Final%20100%25%2016.03.2016%20Minority17.03.2013%20aSH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sanka\Others\C.W.Mackie%20Group%20FS%20confirmed%20version(10.05.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mpaq/Desktop/WORK%20FROM%20HOME/Paper%20Publication/2020/SEPTEMBER/2%20Quarter/Draft%20Quarterly%20FS%20as%20at%2030.09.2020-22.10.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CH 1"/>
      <sheetName val="NOTES"/>
      <sheetName val="Accounts"/>
      <sheetName val="VAT Rec"/>
      <sheetName val="Assets"/>
      <sheetName val="Ruwan"/>
      <sheetName val="Graph"/>
      <sheetName val="Final Accounts "/>
      <sheetName val="Sheet2"/>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B"/>
      <sheetName val="ACC"/>
      <sheetName val="Board"/>
    </sheetNames>
    <sheetDataSet>
      <sheetData sheetId="0">
        <row r="123">
          <cell r="G123">
            <v>0</v>
          </cell>
        </row>
      </sheetData>
      <sheetData sheetId="1">
        <row r="60">
          <cell r="M60">
            <v>0</v>
          </cell>
        </row>
      </sheetData>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re trial"/>
      <sheetName val="Trial Balance Subtotal"/>
      <sheetName val="FCBU"/>
      <sheetName val="Adjusted to detailed P&amp;L"/>
      <sheetName val="Inter Units"/>
      <sheetName val="Working Final Trial Balance "/>
      <sheetName val="Final TB 31.03.2013"/>
    </sheetNames>
    <sheetDataSet>
      <sheetData sheetId="0" refreshError="1"/>
      <sheetData sheetId="1" refreshError="1"/>
      <sheetData sheetId="2">
        <row r="1">
          <cell r="A1" t="str">
            <v>AS AT 31 MARCH 2013 - FCBU</v>
          </cell>
          <cell r="G1" t="str">
            <v>Closing rate</v>
          </cell>
          <cell r="H1">
            <v>126.825</v>
          </cell>
          <cell r="I1" t="str">
            <v>Fcbu profit is arrived by multiplying its income &amp; expenditure by closing rate by the system.Therefore when preparing P&amp;L we made it for average rate manually.</v>
          </cell>
        </row>
        <row r="2">
          <cell r="A2" t="str">
            <v>CORE (BANK SEGMENT)</v>
          </cell>
          <cell r="G2" t="str">
            <v>Average rate</v>
          </cell>
          <cell r="H2">
            <v>126.87430000000001</v>
          </cell>
        </row>
        <row r="3">
          <cell r="A3" t="str">
            <v>GL Account ID</v>
          </cell>
          <cell r="B3" t="str">
            <v>GL Account Name</v>
          </cell>
          <cell r="C3" t="str">
            <v>Debit LKR</v>
          </cell>
          <cell r="D3" t="str">
            <v>Credit LKR</v>
          </cell>
          <cell r="H3" t="str">
            <v>Adjusted Balance</v>
          </cell>
        </row>
        <row r="4">
          <cell r="A4">
            <v>102610</v>
          </cell>
          <cell r="B4" t="str">
            <v xml:space="preserve">INT- LENDING TERM MONEY BANK                                        </v>
          </cell>
          <cell r="C4">
            <v>0</v>
          </cell>
          <cell r="D4">
            <v>0</v>
          </cell>
          <cell r="E4">
            <v>41364</v>
          </cell>
          <cell r="F4" t="str">
            <v>FCBU</v>
          </cell>
          <cell r="H4">
            <v>0</v>
          </cell>
          <cell r="I4" t="str">
            <v>Reconciliation</v>
          </cell>
        </row>
        <row r="5">
          <cell r="A5">
            <v>102640</v>
          </cell>
          <cell r="B5" t="str">
            <v xml:space="preserve">INTEREST INCOME MML                                        </v>
          </cell>
          <cell r="C5">
            <v>0</v>
          </cell>
          <cell r="D5">
            <v>-1711218.2701171499</v>
          </cell>
          <cell r="E5">
            <v>41364</v>
          </cell>
          <cell r="F5" t="str">
            <v>FCBU</v>
          </cell>
          <cell r="H5">
            <v>-1711883.4627898626</v>
          </cell>
          <cell r="I5" t="str">
            <v>Profit as per System TB</v>
          </cell>
          <cell r="J5">
            <v>-515896797.36536729</v>
          </cell>
        </row>
        <row r="6">
          <cell r="A6">
            <v>102820</v>
          </cell>
          <cell r="B6" t="str">
            <v xml:space="preserve">INT ON NOSTRO AC (CAB) WORKING BALANCE                                        </v>
          </cell>
          <cell r="C6">
            <v>0</v>
          </cell>
          <cell r="D6">
            <v>-58973.625</v>
          </cell>
          <cell r="E6">
            <v>41364</v>
          </cell>
          <cell r="F6" t="str">
            <v>FCBU</v>
          </cell>
          <cell r="H6">
            <v>-58996.549500000001</v>
          </cell>
          <cell r="I6" t="str">
            <v>Profit as per Average Rate</v>
          </cell>
          <cell r="J6">
            <v>-515896797.36536729</v>
          </cell>
        </row>
        <row r="7">
          <cell r="A7">
            <v>103120</v>
          </cell>
          <cell r="B7" t="str">
            <v xml:space="preserve">INT- SLDB BONDS FC                                        </v>
          </cell>
          <cell r="C7">
            <v>0</v>
          </cell>
          <cell r="D7">
            <v>-165197065.46700001</v>
          </cell>
          <cell r="E7">
            <v>41364</v>
          </cell>
          <cell r="F7" t="str">
            <v>FCBU</v>
          </cell>
          <cell r="H7">
            <v>-165261281.63358799</v>
          </cell>
          <cell r="I7" t="str">
            <v>Difference in Exchange</v>
          </cell>
          <cell r="J7">
            <v>0</v>
          </cell>
        </row>
        <row r="8">
          <cell r="A8">
            <v>105000</v>
          </cell>
          <cell r="B8" t="str">
            <v xml:space="preserve">INT- IMPORT SIGHT BILLS DRAWN                                        </v>
          </cell>
          <cell r="C8">
            <v>0</v>
          </cell>
          <cell r="D8">
            <v>-1138.8885</v>
          </cell>
          <cell r="E8">
            <v>41364</v>
          </cell>
          <cell r="F8" t="str">
            <v>FCBU</v>
          </cell>
          <cell r="H8">
            <v>-1139.331214</v>
          </cell>
        </row>
        <row r="9">
          <cell r="A9">
            <v>105001</v>
          </cell>
          <cell r="B9" t="str">
            <v xml:space="preserve">INT- IMPORT SIGHT BILLS DRAWN OLD                                        </v>
          </cell>
          <cell r="C9">
            <v>0</v>
          </cell>
          <cell r="D9">
            <v>0</v>
          </cell>
          <cell r="E9">
            <v>41364</v>
          </cell>
          <cell r="F9" t="str">
            <v>FCBU</v>
          </cell>
          <cell r="H9">
            <v>0</v>
          </cell>
        </row>
        <row r="10">
          <cell r="A10">
            <v>106000</v>
          </cell>
          <cell r="B10" t="str">
            <v xml:space="preserve">INT- IMPORT USANCE BILLS                                        </v>
          </cell>
          <cell r="C10">
            <v>0</v>
          </cell>
          <cell r="D10">
            <v>-39226.972500000003</v>
          </cell>
          <cell r="E10">
            <v>41364</v>
          </cell>
          <cell r="F10" t="str">
            <v>FCBU</v>
          </cell>
          <cell r="H10">
            <v>-39242.220990000002</v>
          </cell>
        </row>
        <row r="11">
          <cell r="A11">
            <v>108000</v>
          </cell>
          <cell r="B11" t="str">
            <v xml:space="preserve">INT- FOREIGN BILLS PURC. UNDER LC                                        </v>
          </cell>
          <cell r="C11">
            <v>0</v>
          </cell>
          <cell r="D11">
            <v>0</v>
          </cell>
          <cell r="E11">
            <v>41364</v>
          </cell>
          <cell r="F11" t="str">
            <v>FCBU</v>
          </cell>
          <cell r="H11">
            <v>0</v>
          </cell>
        </row>
        <row r="12">
          <cell r="A12">
            <v>110800</v>
          </cell>
          <cell r="B12" t="str">
            <v xml:space="preserve">INT- FGN BILLS DISC/NEGO UNDER LC                                        </v>
          </cell>
          <cell r="C12">
            <v>0</v>
          </cell>
          <cell r="D12">
            <v>-3461631.30375</v>
          </cell>
          <cell r="E12">
            <v>41364</v>
          </cell>
          <cell r="F12" t="str">
            <v>FCBU</v>
          </cell>
          <cell r="H12">
            <v>-3462976.9250650001</v>
          </cell>
          <cell r="I12" t="str">
            <v>Reconciliation</v>
          </cell>
        </row>
        <row r="13">
          <cell r="A13">
            <v>110801</v>
          </cell>
          <cell r="B13" t="str">
            <v xml:space="preserve">INT- FGN BILLS DISC/NEGO UNDER LC OLD                                        </v>
          </cell>
          <cell r="C13">
            <v>0</v>
          </cell>
          <cell r="D13">
            <v>0</v>
          </cell>
          <cell r="E13">
            <v>41364</v>
          </cell>
          <cell r="F13" t="str">
            <v>FCBU</v>
          </cell>
          <cell r="H13">
            <v>0</v>
          </cell>
          <cell r="I13" t="str">
            <v>Profit as per System TB</v>
          </cell>
          <cell r="J13">
            <v>-515896797.36536729</v>
          </cell>
        </row>
        <row r="14">
          <cell r="A14">
            <v>112200</v>
          </cell>
          <cell r="B14" t="str">
            <v xml:space="preserve">INT- FOREIGN BILLS DISC/NEGO                                        </v>
          </cell>
          <cell r="C14">
            <v>0</v>
          </cell>
          <cell r="D14">
            <v>-2587128.54</v>
          </cell>
          <cell r="E14">
            <v>41364</v>
          </cell>
          <cell r="F14" t="str">
            <v>FCBU</v>
          </cell>
          <cell r="H14">
            <v>-2588134.2205600003</v>
          </cell>
          <cell r="I14" t="str">
            <v>Profit as per Average Rate</v>
          </cell>
          <cell r="J14">
            <v>-516097339.152161</v>
          </cell>
        </row>
        <row r="15">
          <cell r="A15">
            <v>113500</v>
          </cell>
          <cell r="B15" t="str">
            <v xml:space="preserve">INT- DOM BILLS OF EXCH DISC/NEGO LC                                        </v>
          </cell>
          <cell r="C15">
            <v>0</v>
          </cell>
          <cell r="D15">
            <v>-555407.25899999996</v>
          </cell>
          <cell r="E15">
            <v>41364</v>
          </cell>
          <cell r="F15" t="str">
            <v>FCBU</v>
          </cell>
          <cell r="H15">
            <v>-555623.159476</v>
          </cell>
          <cell r="I15" t="str">
            <v>Difference in Exchange</v>
          </cell>
          <cell r="J15">
            <v>200541.78679347038</v>
          </cell>
        </row>
        <row r="16">
          <cell r="A16">
            <v>113600</v>
          </cell>
          <cell r="B16" t="str">
            <v xml:space="preserve">INT- BILLS OF EXCH. DISC/NEGO                                        </v>
          </cell>
          <cell r="C16">
            <v>0</v>
          </cell>
          <cell r="D16">
            <v>0</v>
          </cell>
          <cell r="E16">
            <v>41364</v>
          </cell>
          <cell r="F16" t="str">
            <v>FCBU</v>
          </cell>
          <cell r="H16">
            <v>0</v>
          </cell>
          <cell r="I16" t="str">
            <v>already accounted in Difference in Exch ac at average rate FCBU (192150)</v>
          </cell>
          <cell r="J16">
            <v>-15901.156019</v>
          </cell>
        </row>
        <row r="17">
          <cell r="A17">
            <v>116500</v>
          </cell>
          <cell r="B17" t="str">
            <v xml:space="preserve">INT- OVERDRAFTS                                        </v>
          </cell>
          <cell r="C17">
            <v>0</v>
          </cell>
          <cell r="D17">
            <v>-6312752.4224999994</v>
          </cell>
          <cell r="E17">
            <v>41364</v>
          </cell>
          <cell r="F17" t="str">
            <v>FCBU</v>
          </cell>
          <cell r="H17">
            <v>-6315206.3447899995</v>
          </cell>
          <cell r="I17" t="str">
            <v>Adjusted account balance at 192150 account</v>
          </cell>
          <cell r="J17">
            <v>184640.6307744704</v>
          </cell>
        </row>
        <row r="18">
          <cell r="A18">
            <v>116501</v>
          </cell>
          <cell r="B18" t="str">
            <v xml:space="preserve">INT OVERDRAFTS OLD                                        </v>
          </cell>
          <cell r="C18">
            <v>0</v>
          </cell>
          <cell r="D18">
            <v>12682.5</v>
          </cell>
          <cell r="E18">
            <v>41364</v>
          </cell>
          <cell r="F18" t="str">
            <v>FCBU</v>
          </cell>
          <cell r="H18">
            <v>12687.43</v>
          </cell>
        </row>
        <row r="19">
          <cell r="A19">
            <v>120500</v>
          </cell>
          <cell r="B19" t="str">
            <v xml:space="preserve">INT- IMPORT TRUST RECEIPT LOAN                                        </v>
          </cell>
          <cell r="C19">
            <v>0</v>
          </cell>
          <cell r="D19">
            <v>-2.5365000000000002</v>
          </cell>
          <cell r="E19">
            <v>41364</v>
          </cell>
          <cell r="F19" t="str">
            <v>FCBU</v>
          </cell>
          <cell r="H19">
            <v>-2.5374860000000004</v>
          </cell>
        </row>
        <row r="20">
          <cell r="A20">
            <v>123300</v>
          </cell>
          <cell r="B20" t="str">
            <v xml:space="preserve">INT- EXPORT TRUST RECEIPT LOAN                                        </v>
          </cell>
          <cell r="C20">
            <v>0</v>
          </cell>
          <cell r="D20">
            <v>-10199442.78675</v>
          </cell>
          <cell r="E20">
            <v>41364</v>
          </cell>
          <cell r="F20" t="str">
            <v>FCBU</v>
          </cell>
          <cell r="H20">
            <v>-10203407.561277</v>
          </cell>
        </row>
        <row r="21">
          <cell r="A21">
            <v>123301</v>
          </cell>
          <cell r="B21" t="str">
            <v xml:space="preserve">INT EXPORT TRUST RECEIPT LOAN OLD                                        </v>
          </cell>
          <cell r="C21">
            <v>0</v>
          </cell>
          <cell r="D21">
            <v>0</v>
          </cell>
          <cell r="E21">
            <v>41364</v>
          </cell>
          <cell r="F21" t="str">
            <v>FCBU</v>
          </cell>
          <cell r="H21">
            <v>0</v>
          </cell>
        </row>
        <row r="22">
          <cell r="A22">
            <v>124600</v>
          </cell>
          <cell r="B22" t="str">
            <v xml:space="preserve">INT- SHORT TERM LNS EXPO                                        </v>
          </cell>
          <cell r="C22">
            <v>0</v>
          </cell>
          <cell r="D22">
            <v>-1241098568.415</v>
          </cell>
          <cell r="E22">
            <v>41364</v>
          </cell>
          <cell r="F22" t="str">
            <v>FCBU</v>
          </cell>
          <cell r="H22">
            <v>-1241581013.98506</v>
          </cell>
        </row>
        <row r="23">
          <cell r="A23">
            <v>124601</v>
          </cell>
          <cell r="B23" t="str">
            <v xml:space="preserve">INT SHORT TERM LOANS EXP OLD                                        </v>
          </cell>
          <cell r="C23">
            <v>0</v>
          </cell>
          <cell r="D23">
            <v>0</v>
          </cell>
          <cell r="E23">
            <v>41364</v>
          </cell>
          <cell r="F23" t="str">
            <v>FCBU</v>
          </cell>
          <cell r="H23">
            <v>0</v>
          </cell>
        </row>
        <row r="24">
          <cell r="A24">
            <v>125000</v>
          </cell>
          <cell r="B24" t="str">
            <v xml:space="preserve">INT- SHORT TERM BLOCKLOANS                                        </v>
          </cell>
          <cell r="C24">
            <v>0</v>
          </cell>
          <cell r="D24">
            <v>0</v>
          </cell>
          <cell r="E24">
            <v>41364</v>
          </cell>
          <cell r="F24" t="str">
            <v>FCBU</v>
          </cell>
          <cell r="H24">
            <v>0</v>
          </cell>
        </row>
        <row r="25">
          <cell r="A25">
            <v>125001</v>
          </cell>
          <cell r="B25" t="str">
            <v xml:space="preserve">INT SHORT TERM BLOCK LOANS OLD                                        </v>
          </cell>
          <cell r="C25">
            <v>0</v>
          </cell>
          <cell r="D25">
            <v>0</v>
          </cell>
          <cell r="E25">
            <v>41364</v>
          </cell>
          <cell r="F25" t="str">
            <v>FCBU</v>
          </cell>
          <cell r="H25">
            <v>0</v>
          </cell>
        </row>
        <row r="26">
          <cell r="A26">
            <v>129000</v>
          </cell>
          <cell r="B26" t="str">
            <v xml:space="preserve">INT- MEDIUM TERM BLOCKLOANS                                        </v>
          </cell>
          <cell r="C26">
            <v>0</v>
          </cell>
          <cell r="D26">
            <v>-13485961.74</v>
          </cell>
          <cell r="E26">
            <v>41364</v>
          </cell>
          <cell r="F26" t="str">
            <v>FCBU</v>
          </cell>
          <cell r="H26">
            <v>-13491204.06536</v>
          </cell>
        </row>
        <row r="27">
          <cell r="A27">
            <v>129001</v>
          </cell>
          <cell r="B27" t="str">
            <v xml:space="preserve">INT- MEDIUM TERM BLOCKLOANS OLD                                        </v>
          </cell>
          <cell r="C27">
            <v>0</v>
          </cell>
          <cell r="D27">
            <v>0</v>
          </cell>
          <cell r="E27">
            <v>41364</v>
          </cell>
          <cell r="F27" t="str">
            <v>FCBU</v>
          </cell>
          <cell r="H27">
            <v>0</v>
          </cell>
        </row>
        <row r="28">
          <cell r="A28">
            <v>133000</v>
          </cell>
          <cell r="B28" t="str">
            <v xml:space="preserve">INT- LONG TERM BLOCKLOANS                                        </v>
          </cell>
          <cell r="C28">
            <v>0</v>
          </cell>
          <cell r="D28">
            <v>-18800053.528499998</v>
          </cell>
          <cell r="E28">
            <v>41364</v>
          </cell>
          <cell r="F28" t="str">
            <v>FCBU</v>
          </cell>
          <cell r="H28">
            <v>-18807361.572174001</v>
          </cell>
        </row>
        <row r="29">
          <cell r="A29">
            <v>133001</v>
          </cell>
          <cell r="B29" t="str">
            <v xml:space="preserve">INT- LONG TERM BLOCKLOANS OLD                                        </v>
          </cell>
          <cell r="C29">
            <v>0</v>
          </cell>
          <cell r="D29">
            <v>0</v>
          </cell>
          <cell r="E29">
            <v>41364</v>
          </cell>
          <cell r="F29" t="str">
            <v>FCBU</v>
          </cell>
          <cell r="H29">
            <v>0</v>
          </cell>
        </row>
        <row r="30">
          <cell r="A30">
            <v>149000</v>
          </cell>
          <cell r="B30" t="str">
            <v xml:space="preserve">INT- RESCHEDULED LOANS                                        </v>
          </cell>
          <cell r="C30">
            <v>0</v>
          </cell>
          <cell r="D30">
            <v>0</v>
          </cell>
          <cell r="E30">
            <v>41364</v>
          </cell>
          <cell r="F30" t="str">
            <v>FCBU</v>
          </cell>
          <cell r="H30">
            <v>0</v>
          </cell>
        </row>
        <row r="31">
          <cell r="A31">
            <v>178000</v>
          </cell>
          <cell r="B31" t="str">
            <v xml:space="preserve">INT.SYNDICATED  LOANS                                        </v>
          </cell>
          <cell r="C31">
            <v>0</v>
          </cell>
          <cell r="D31">
            <v>-26872269.468000002</v>
          </cell>
          <cell r="E31">
            <v>41364</v>
          </cell>
          <cell r="F31" t="str">
            <v>FCBU</v>
          </cell>
          <cell r="H31">
            <v>-26882715.380752005</v>
          </cell>
        </row>
        <row r="32">
          <cell r="A32">
            <v>192110</v>
          </cell>
          <cell r="B32" t="str">
            <v xml:space="preserve">GAIN / LOSS ON FOREIGN EXCHANGE                                        </v>
          </cell>
          <cell r="C32">
            <v>0</v>
          </cell>
          <cell r="D32">
            <v>547871.3175</v>
          </cell>
          <cell r="E32">
            <v>41364</v>
          </cell>
          <cell r="F32" t="str">
            <v>FCBU</v>
          </cell>
          <cell r="H32">
            <v>548084.28856999998</v>
          </cell>
        </row>
        <row r="33">
          <cell r="A33">
            <v>192140</v>
          </cell>
          <cell r="B33" t="str">
            <v xml:space="preserve">EXCH. ACCOUNT - REPATRIATION OF CURRENCY                                       </v>
          </cell>
          <cell r="C33">
            <v>0</v>
          </cell>
          <cell r="D33">
            <v>0</v>
          </cell>
          <cell r="E33">
            <v>41364</v>
          </cell>
          <cell r="F33" t="str">
            <v>FCBU</v>
          </cell>
          <cell r="H33">
            <v>0</v>
          </cell>
        </row>
        <row r="34">
          <cell r="A34">
            <v>192150</v>
          </cell>
          <cell r="B34" t="str">
            <v xml:space="preserve">EXCH. ACCOUNT - DIFFERENCES IN EXCH.                                        </v>
          </cell>
          <cell r="C34">
            <v>0</v>
          </cell>
          <cell r="D34">
            <v>-15894.97725</v>
          </cell>
          <cell r="E34">
            <v>41364</v>
          </cell>
          <cell r="F34" t="str">
            <v>FCBU</v>
          </cell>
          <cell r="H34">
            <v>184640.6307744704</v>
          </cell>
        </row>
        <row r="35">
          <cell r="A35">
            <v>192460</v>
          </cell>
          <cell r="B35" t="str">
            <v xml:space="preserve">COM  A/C. - ACCEPTANCE                                        </v>
          </cell>
          <cell r="C35">
            <v>0</v>
          </cell>
          <cell r="D35">
            <v>-8877.75</v>
          </cell>
          <cell r="E35">
            <v>41364</v>
          </cell>
          <cell r="F35" t="str">
            <v>FCBU</v>
          </cell>
          <cell r="H35">
            <v>-8881.2010000000009</v>
          </cell>
        </row>
        <row r="36">
          <cell r="A36">
            <v>192480</v>
          </cell>
          <cell r="B36" t="str">
            <v xml:space="preserve">COM  A/C. - LETTERS OF CREDIT                                        </v>
          </cell>
          <cell r="C36">
            <v>0</v>
          </cell>
          <cell r="D36">
            <v>-2490726.321</v>
          </cell>
          <cell r="E36">
            <v>41364</v>
          </cell>
          <cell r="F36" t="str">
            <v>FCBU</v>
          </cell>
          <cell r="H36">
            <v>-2491694.527644</v>
          </cell>
        </row>
        <row r="37">
          <cell r="A37">
            <v>192490</v>
          </cell>
          <cell r="B37" t="str">
            <v xml:space="preserve">COM  A/C. - GUARANTEES GRANTED                                        </v>
          </cell>
          <cell r="C37">
            <v>0</v>
          </cell>
          <cell r="D37">
            <v>0</v>
          </cell>
          <cell r="E37">
            <v>41364</v>
          </cell>
          <cell r="F37" t="str">
            <v>FCBU</v>
          </cell>
          <cell r="H37">
            <v>0</v>
          </cell>
        </row>
        <row r="38">
          <cell r="A38">
            <v>192500</v>
          </cell>
          <cell r="B38" t="str">
            <v xml:space="preserve">COM  A/C.-  SHIPPING GURANTEE                                        </v>
          </cell>
          <cell r="C38">
            <v>0</v>
          </cell>
          <cell r="D38">
            <v>-339317.75099999999</v>
          </cell>
          <cell r="E38">
            <v>41364</v>
          </cell>
          <cell r="F38" t="str">
            <v>FCBU</v>
          </cell>
          <cell r="H38">
            <v>-339449.65216400003</v>
          </cell>
        </row>
        <row r="39">
          <cell r="A39">
            <v>192570</v>
          </cell>
          <cell r="B39" t="str">
            <v xml:space="preserve">COM  A/C. - FORE. BILLS  (IMPORTS)                                        </v>
          </cell>
          <cell r="C39">
            <v>0</v>
          </cell>
          <cell r="D39">
            <v>-2035929.3345000001</v>
          </cell>
          <cell r="E39">
            <v>41364</v>
          </cell>
          <cell r="F39" t="str">
            <v>FCBU</v>
          </cell>
          <cell r="H39">
            <v>-2036720.7503580002</v>
          </cell>
        </row>
        <row r="40">
          <cell r="A40">
            <v>192610</v>
          </cell>
          <cell r="B40" t="str">
            <v xml:space="preserve">COM  A/C. - CURRENT A/C                                        </v>
          </cell>
          <cell r="C40">
            <v>0</v>
          </cell>
          <cell r="D40">
            <v>-93807.379499999995</v>
          </cell>
          <cell r="E40">
            <v>41364</v>
          </cell>
          <cell r="F40" t="str">
            <v>FCBU</v>
          </cell>
          <cell r="H40">
            <v>-93843.844738</v>
          </cell>
        </row>
        <row r="41">
          <cell r="A41">
            <v>192670</v>
          </cell>
          <cell r="B41" t="str">
            <v xml:space="preserve">COM  A/C. - NON CURRENT ACCOUNTS                                        </v>
          </cell>
          <cell r="C41">
            <v>0</v>
          </cell>
          <cell r="D41">
            <v>-65949</v>
          </cell>
          <cell r="E41">
            <v>41364</v>
          </cell>
          <cell r="F41" t="str">
            <v>FCBU</v>
          </cell>
          <cell r="H41">
            <v>-65974.635999999999</v>
          </cell>
        </row>
        <row r="42">
          <cell r="A42">
            <v>192700</v>
          </cell>
          <cell r="B42" t="str">
            <v xml:space="preserve">COM  A/C -FORE. BILLS  NEGO/PUR/ (EXPORT)                                      </v>
          </cell>
          <cell r="C42">
            <v>0</v>
          </cell>
          <cell r="D42">
            <v>-4691472.3525</v>
          </cell>
          <cell r="E42">
            <v>41364</v>
          </cell>
          <cell r="F42" t="str">
            <v>FCBU</v>
          </cell>
          <cell r="H42">
            <v>-4693296.0433099996</v>
          </cell>
        </row>
        <row r="43">
          <cell r="A43">
            <v>192710</v>
          </cell>
          <cell r="B43" t="str">
            <v xml:space="preserve">COM  A/C -FORE.CHEQ/DRAFT/TC/ETC PURCH.                                        </v>
          </cell>
          <cell r="C43">
            <v>0</v>
          </cell>
          <cell r="D43">
            <v>-1165827.3982499999</v>
          </cell>
          <cell r="E43">
            <v>41364</v>
          </cell>
          <cell r="F43" t="str">
            <v>FCBU</v>
          </cell>
          <cell r="H43">
            <v>-1166280.5840629998</v>
          </cell>
        </row>
        <row r="44">
          <cell r="A44">
            <v>192720</v>
          </cell>
          <cell r="B44" t="str">
            <v xml:space="preserve">COM  A/C -FORE.CHEQ/DRAFT/TC/ETC ISSUED                                        </v>
          </cell>
          <cell r="C44">
            <v>0</v>
          </cell>
          <cell r="D44">
            <v>-833874.375</v>
          </cell>
          <cell r="E44">
            <v>41364</v>
          </cell>
          <cell r="F44" t="str">
            <v>FCBU</v>
          </cell>
          <cell r="H44">
            <v>-834198.52250000008</v>
          </cell>
        </row>
        <row r="45">
          <cell r="A45">
            <v>192740</v>
          </cell>
          <cell r="B45" t="str">
            <v xml:space="preserve">COM  A/C. - SUNDRIES                                        </v>
          </cell>
          <cell r="C45">
            <v>0</v>
          </cell>
          <cell r="D45">
            <v>-61790.40825</v>
          </cell>
          <cell r="E45">
            <v>41364</v>
          </cell>
          <cell r="F45" t="str">
            <v>FCBU</v>
          </cell>
          <cell r="H45">
            <v>-61814.427703000001</v>
          </cell>
        </row>
        <row r="46">
          <cell r="A46">
            <v>192750</v>
          </cell>
          <cell r="B46" t="str">
            <v xml:space="preserve">FEE INC.- COMMITMENT                                        </v>
          </cell>
          <cell r="C46">
            <v>0</v>
          </cell>
          <cell r="D46">
            <v>0</v>
          </cell>
          <cell r="E46">
            <v>41364</v>
          </cell>
          <cell r="F46" t="str">
            <v>FCBU</v>
          </cell>
          <cell r="H46">
            <v>0</v>
          </cell>
        </row>
        <row r="47">
          <cell r="A47">
            <v>192760</v>
          </cell>
          <cell r="B47" t="str">
            <v xml:space="preserve">FEE INC.- OTHERS (LOANS)                                        </v>
          </cell>
          <cell r="C47">
            <v>0</v>
          </cell>
          <cell r="D47">
            <v>-139270.33725000001</v>
          </cell>
          <cell r="E47">
            <v>41364</v>
          </cell>
          <cell r="F47" t="str">
            <v>FCBU</v>
          </cell>
          <cell r="H47">
            <v>-139324.47505900002</v>
          </cell>
        </row>
        <row r="48">
          <cell r="A48">
            <v>192820</v>
          </cell>
          <cell r="B48" t="str">
            <v xml:space="preserve">REMUNERATION FEE RCVD ON SYNDICATE LOANS                                        </v>
          </cell>
          <cell r="C48">
            <v>0</v>
          </cell>
          <cell r="D48">
            <v>0</v>
          </cell>
          <cell r="E48">
            <v>41364</v>
          </cell>
          <cell r="F48" t="str">
            <v>FCBU</v>
          </cell>
          <cell r="H48">
            <v>0</v>
          </cell>
        </row>
        <row r="49">
          <cell r="A49">
            <v>193590</v>
          </cell>
          <cell r="B49" t="str">
            <v xml:space="preserve">CHARGES RECOVERED - LEGAL                                        </v>
          </cell>
          <cell r="C49">
            <v>0</v>
          </cell>
          <cell r="D49">
            <v>-476486.598</v>
          </cell>
          <cell r="E49">
            <v>41364</v>
          </cell>
          <cell r="F49" t="str">
            <v>FCBU</v>
          </cell>
          <cell r="H49">
            <v>-476671.82007200003</v>
          </cell>
        </row>
        <row r="50">
          <cell r="A50">
            <v>193600</v>
          </cell>
          <cell r="B50" t="str">
            <v xml:space="preserve">CHARGES RECOVERED - STATIONERY                                        </v>
          </cell>
          <cell r="C50">
            <v>0</v>
          </cell>
          <cell r="D50">
            <v>-1325321.25</v>
          </cell>
          <cell r="E50">
            <v>41364</v>
          </cell>
          <cell r="F50" t="str">
            <v>FCBU</v>
          </cell>
          <cell r="H50">
            <v>-1325836.4350000001</v>
          </cell>
        </row>
        <row r="51">
          <cell r="A51">
            <v>193620</v>
          </cell>
          <cell r="B51" t="str">
            <v xml:space="preserve">CHARGES RECOVERED - POSTAGE                                        </v>
          </cell>
          <cell r="C51">
            <v>0</v>
          </cell>
          <cell r="D51">
            <v>-126.825</v>
          </cell>
          <cell r="E51">
            <v>41364</v>
          </cell>
          <cell r="F51" t="str">
            <v>FCBU</v>
          </cell>
          <cell r="H51">
            <v>-126.87430000000001</v>
          </cell>
        </row>
        <row r="52">
          <cell r="A52">
            <v>193630</v>
          </cell>
          <cell r="B52" t="str">
            <v xml:space="preserve">CHARGES RECOVERED - TELEX / SWIFT                                        </v>
          </cell>
          <cell r="C52">
            <v>0</v>
          </cell>
          <cell r="D52">
            <v>-2115314.1749999998</v>
          </cell>
          <cell r="E52">
            <v>41364</v>
          </cell>
          <cell r="F52" t="str">
            <v>FCBU</v>
          </cell>
          <cell r="H52">
            <v>-2116136.4496999998</v>
          </cell>
        </row>
        <row r="53">
          <cell r="A53">
            <v>193680</v>
          </cell>
          <cell r="B53" t="str">
            <v xml:space="preserve">CHARGES RECOVERED - TELEPHONE                                        </v>
          </cell>
          <cell r="C53">
            <v>0</v>
          </cell>
          <cell r="D53">
            <v>0</v>
          </cell>
          <cell r="E53">
            <v>41364</v>
          </cell>
          <cell r="F53" t="str">
            <v>FCBU</v>
          </cell>
          <cell r="H53">
            <v>0</v>
          </cell>
        </row>
        <row r="54">
          <cell r="A54">
            <v>193700</v>
          </cell>
          <cell r="B54" t="str">
            <v xml:space="preserve">CHARGES RECOVERED - INSURANCE (SERVICES)                                       </v>
          </cell>
          <cell r="C54">
            <v>0</v>
          </cell>
          <cell r="D54">
            <v>0</v>
          </cell>
          <cell r="E54">
            <v>41364</v>
          </cell>
          <cell r="F54" t="str">
            <v>FCBU</v>
          </cell>
          <cell r="H54">
            <v>0</v>
          </cell>
        </row>
        <row r="55">
          <cell r="A55">
            <v>193710</v>
          </cell>
          <cell r="B55" t="str">
            <v xml:space="preserve">CHARGES RECOVERED - COURIER SERVICE                                        </v>
          </cell>
          <cell r="C55">
            <v>0</v>
          </cell>
          <cell r="D55">
            <v>-485739.75</v>
          </cell>
          <cell r="E55">
            <v>41364</v>
          </cell>
          <cell r="F55" t="str">
            <v>FCBU</v>
          </cell>
          <cell r="H55">
            <v>-485928.56900000002</v>
          </cell>
        </row>
        <row r="56">
          <cell r="A56">
            <v>193720</v>
          </cell>
          <cell r="B56" t="str">
            <v xml:space="preserve">CHARGES RECOVERED - STAMP DUTY O/A PAWNING                                     </v>
          </cell>
          <cell r="C56">
            <v>0</v>
          </cell>
          <cell r="D56">
            <v>0</v>
          </cell>
          <cell r="E56">
            <v>41364</v>
          </cell>
          <cell r="F56" t="str">
            <v>FCBU</v>
          </cell>
          <cell r="H56">
            <v>0</v>
          </cell>
        </row>
        <row r="57">
          <cell r="A57">
            <v>193740</v>
          </cell>
          <cell r="B57" t="str">
            <v xml:space="preserve">CHARGES RECOVERED - CORESPONDENT BANKERS                                       </v>
          </cell>
          <cell r="C57">
            <v>0</v>
          </cell>
          <cell r="D57">
            <v>-214968.375</v>
          </cell>
          <cell r="E57">
            <v>41364</v>
          </cell>
          <cell r="F57" t="str">
            <v>FCBU</v>
          </cell>
          <cell r="H57">
            <v>-215051.93850000002</v>
          </cell>
        </row>
        <row r="58">
          <cell r="A58">
            <v>195000</v>
          </cell>
          <cell r="B58" t="str">
            <v xml:space="preserve">BAD DEBT RECOVERED                                        </v>
          </cell>
          <cell r="C58">
            <v>0</v>
          </cell>
          <cell r="D58">
            <v>0</v>
          </cell>
          <cell r="E58">
            <v>41364</v>
          </cell>
          <cell r="F58" t="str">
            <v>FCBU</v>
          </cell>
          <cell r="H58">
            <v>0</v>
          </cell>
        </row>
        <row r="59">
          <cell r="A59">
            <v>195010</v>
          </cell>
          <cell r="B59" t="str">
            <v xml:space="preserve">LLP REVERS. IN RESPECT  OF NP RECOVERIES                                        </v>
          </cell>
          <cell r="C59">
            <v>0</v>
          </cell>
          <cell r="D59">
            <v>-21871689.079500001</v>
          </cell>
          <cell r="E59">
            <v>41364</v>
          </cell>
          <cell r="F59" t="str">
            <v>FCBU</v>
          </cell>
          <cell r="H59">
            <v>-21880191.143538002</v>
          </cell>
        </row>
        <row r="60">
          <cell r="F60" t="str">
            <v>FCBU</v>
          </cell>
        </row>
        <row r="61">
          <cell r="A61" t="str">
            <v>Income Sub Total</v>
          </cell>
          <cell r="C61">
            <v>0</v>
          </cell>
          <cell r="D61">
            <v>-1528252670.8426173</v>
          </cell>
          <cell r="F61" t="str">
            <v>FCBU</v>
          </cell>
          <cell r="H61">
            <v>-1528646198.4953864</v>
          </cell>
        </row>
        <row r="62">
          <cell r="F62" t="str">
            <v>FCBU</v>
          </cell>
        </row>
        <row r="63">
          <cell r="A63">
            <v>206500</v>
          </cell>
          <cell r="B63" t="str">
            <v xml:space="preserve">INT.SAVINGS F.C                                        </v>
          </cell>
          <cell r="C63">
            <v>1057028.0355</v>
          </cell>
          <cell r="D63">
            <v>0</v>
          </cell>
          <cell r="E63">
            <v>41364</v>
          </cell>
          <cell r="F63" t="str">
            <v>FCBU</v>
          </cell>
          <cell r="H63">
            <v>1057438.928322</v>
          </cell>
        </row>
        <row r="64">
          <cell r="A64">
            <v>215000</v>
          </cell>
          <cell r="B64" t="str">
            <v xml:space="preserve">INT.7 DAY CALL DEPOSIT - LOCAL                                        </v>
          </cell>
          <cell r="C64">
            <v>44568554.875500001</v>
          </cell>
          <cell r="D64">
            <v>0</v>
          </cell>
          <cell r="E64">
            <v>41364</v>
          </cell>
          <cell r="F64" t="str">
            <v>FCBU</v>
          </cell>
          <cell r="H64">
            <v>44585879.770081997</v>
          </cell>
        </row>
        <row r="65">
          <cell r="A65">
            <v>215001</v>
          </cell>
          <cell r="B65" t="str">
            <v xml:space="preserve">INT.7 DAY CALL DEP- LOCAL OLD                                        </v>
          </cell>
          <cell r="C65">
            <v>46830.131249999999</v>
          </cell>
          <cell r="D65">
            <v>0</v>
          </cell>
          <cell r="E65">
            <v>41364</v>
          </cell>
          <cell r="F65" t="str">
            <v>FCBU</v>
          </cell>
          <cell r="H65">
            <v>46848.335275000005</v>
          </cell>
        </row>
        <row r="66">
          <cell r="A66">
            <v>215500</v>
          </cell>
          <cell r="B66" t="str">
            <v xml:space="preserve">INT.TIME DEPOSITS - LOCAL                                        </v>
          </cell>
          <cell r="C66">
            <v>74210057.096249998</v>
          </cell>
          <cell r="D66">
            <v>0</v>
          </cell>
          <cell r="E66">
            <v>41364</v>
          </cell>
          <cell r="F66" t="str">
            <v>FCBU</v>
          </cell>
          <cell r="H66">
            <v>74238904.37253499</v>
          </cell>
        </row>
        <row r="67">
          <cell r="A67">
            <v>215501</v>
          </cell>
          <cell r="B67" t="str">
            <v xml:space="preserve">INTTIME DEP - LOCAL OLD                                        </v>
          </cell>
          <cell r="C67">
            <v>0</v>
          </cell>
          <cell r="D67">
            <v>0</v>
          </cell>
          <cell r="E67">
            <v>41364</v>
          </cell>
          <cell r="F67" t="str">
            <v>FCBU</v>
          </cell>
          <cell r="H67">
            <v>0</v>
          </cell>
        </row>
        <row r="68">
          <cell r="A68">
            <v>219000</v>
          </cell>
          <cell r="B68" t="str">
            <v xml:space="preserve">INT.TIME DEPOSITS - FC                                        </v>
          </cell>
          <cell r="C68">
            <v>1317141.0375000001</v>
          </cell>
          <cell r="D68">
            <v>0</v>
          </cell>
          <cell r="E68">
            <v>41364</v>
          </cell>
          <cell r="F68" t="str">
            <v>FCBU</v>
          </cell>
          <cell r="H68">
            <v>1317653.04265</v>
          </cell>
        </row>
        <row r="69">
          <cell r="A69">
            <v>219001</v>
          </cell>
          <cell r="B69" t="str">
            <v xml:space="preserve">INT TIME DEPOSITS FC OLD                                        </v>
          </cell>
          <cell r="C69">
            <v>0</v>
          </cell>
          <cell r="D69">
            <v>0</v>
          </cell>
          <cell r="E69">
            <v>41364</v>
          </cell>
          <cell r="F69" t="str">
            <v>FCBU</v>
          </cell>
          <cell r="H69">
            <v>0</v>
          </cell>
        </row>
        <row r="70">
          <cell r="A70">
            <v>229000</v>
          </cell>
          <cell r="B70" t="str">
            <v xml:space="preserve">INT CALL DEPOSITS FC                                        </v>
          </cell>
          <cell r="C70">
            <v>0</v>
          </cell>
          <cell r="D70">
            <v>0</v>
          </cell>
          <cell r="E70">
            <v>41364</v>
          </cell>
          <cell r="F70" t="str">
            <v>FCBU</v>
          </cell>
          <cell r="H70">
            <v>0</v>
          </cell>
        </row>
        <row r="71">
          <cell r="A71">
            <v>246100</v>
          </cell>
          <cell r="B71" t="str">
            <v xml:space="preserve">INT.O/D NOSTRO A/C WITH BANKS &amp; FINAN                                        </v>
          </cell>
          <cell r="C71">
            <v>0</v>
          </cell>
          <cell r="D71">
            <v>0</v>
          </cell>
          <cell r="E71">
            <v>41364</v>
          </cell>
          <cell r="F71" t="str">
            <v>FCBU</v>
          </cell>
          <cell r="H71">
            <v>0</v>
          </cell>
        </row>
        <row r="72">
          <cell r="A72">
            <v>248500</v>
          </cell>
          <cell r="B72" t="str">
            <v xml:space="preserve">INT.LONG TERM MMB BORROWINGS                                        </v>
          </cell>
          <cell r="C72">
            <v>744187180.83525002</v>
          </cell>
          <cell r="D72">
            <v>0</v>
          </cell>
          <cell r="E72">
            <v>41364</v>
          </cell>
          <cell r="F72" t="str">
            <v>FCBU</v>
          </cell>
          <cell r="H72">
            <v>744476464.71473098</v>
          </cell>
        </row>
        <row r="73">
          <cell r="A73">
            <v>250010</v>
          </cell>
          <cell r="B73" t="str">
            <v xml:space="preserve">INT-. CALL M BORRO GOSL -LKR                                        </v>
          </cell>
          <cell r="C73">
            <v>0</v>
          </cell>
          <cell r="D73">
            <v>0</v>
          </cell>
          <cell r="E73">
            <v>41364</v>
          </cell>
          <cell r="F73" t="str">
            <v>FCBU</v>
          </cell>
          <cell r="H73">
            <v>0</v>
          </cell>
        </row>
        <row r="74">
          <cell r="A74">
            <v>260110</v>
          </cell>
          <cell r="B74" t="str">
            <v xml:space="preserve">CHARGES A/C. - SALARIES                                        </v>
          </cell>
          <cell r="C74">
            <v>7250048.7802500008</v>
          </cell>
          <cell r="D74">
            <v>0</v>
          </cell>
          <cell r="E74">
            <v>41364</v>
          </cell>
          <cell r="F74" t="str">
            <v>FCBU</v>
          </cell>
          <cell r="H74">
            <v>7252867.0527110007</v>
          </cell>
        </row>
        <row r="75">
          <cell r="A75">
            <v>260120</v>
          </cell>
          <cell r="B75" t="str">
            <v xml:space="preserve">CHARGES A/C. - OVERTIME                                        </v>
          </cell>
          <cell r="C75">
            <v>65562.183749999997</v>
          </cell>
          <cell r="D75">
            <v>0</v>
          </cell>
          <cell r="E75">
            <v>41364</v>
          </cell>
          <cell r="F75" t="str">
            <v>FCBU</v>
          </cell>
          <cell r="H75">
            <v>65587.669385000001</v>
          </cell>
        </row>
        <row r="76">
          <cell r="A76">
            <v>260130</v>
          </cell>
          <cell r="B76" t="str">
            <v xml:space="preserve">CHARGES A/C. - SPECIAL ALLOWANCES                                        </v>
          </cell>
          <cell r="C76">
            <v>35280.178500000002</v>
          </cell>
          <cell r="D76">
            <v>0</v>
          </cell>
          <cell r="E76">
            <v>41364</v>
          </cell>
          <cell r="F76" t="str">
            <v>FCBU</v>
          </cell>
          <cell r="H76">
            <v>35293.892774</v>
          </cell>
        </row>
        <row r="77">
          <cell r="A77">
            <v>260140</v>
          </cell>
          <cell r="B77" t="str">
            <v xml:space="preserve">CHARGES A/C. - OUT OF POCKET ALLOWANCE                                        </v>
          </cell>
          <cell r="C77">
            <v>129485.7885</v>
          </cell>
          <cell r="D77">
            <v>0</v>
          </cell>
          <cell r="E77">
            <v>41364</v>
          </cell>
          <cell r="F77" t="str">
            <v>FCBU</v>
          </cell>
          <cell r="H77">
            <v>129536.12281399999</v>
          </cell>
        </row>
        <row r="78">
          <cell r="A78">
            <v>260160</v>
          </cell>
          <cell r="B78" t="str">
            <v xml:space="preserve">CHARGES A/C. - BONUS                                        </v>
          </cell>
          <cell r="C78">
            <v>1073446.8</v>
          </cell>
          <cell r="D78">
            <v>0</v>
          </cell>
          <cell r="E78">
            <v>41364</v>
          </cell>
          <cell r="F78" t="str">
            <v>FCBU</v>
          </cell>
          <cell r="H78">
            <v>1073864.0752000001</v>
          </cell>
        </row>
        <row r="79">
          <cell r="A79">
            <v>260180</v>
          </cell>
          <cell r="B79" t="str">
            <v xml:space="preserve">CHARGES A/C. - MEDICAL                                        </v>
          </cell>
          <cell r="C79">
            <v>517400.34299999999</v>
          </cell>
          <cell r="D79">
            <v>0</v>
          </cell>
          <cell r="E79">
            <v>41364</v>
          </cell>
          <cell r="F79" t="str">
            <v>FCBU</v>
          </cell>
          <cell r="H79">
            <v>517601.46925199998</v>
          </cell>
        </row>
        <row r="80">
          <cell r="A80">
            <v>260190</v>
          </cell>
          <cell r="B80" t="str">
            <v xml:space="preserve">CHARGES A/C. - MEDICAL FOR PENSIONERS                                        </v>
          </cell>
          <cell r="C80">
            <v>0</v>
          </cell>
          <cell r="D80">
            <v>0</v>
          </cell>
          <cell r="E80">
            <v>41364</v>
          </cell>
          <cell r="F80" t="str">
            <v>FCBU</v>
          </cell>
          <cell r="H80">
            <v>0</v>
          </cell>
        </row>
        <row r="81">
          <cell r="A81">
            <v>260250</v>
          </cell>
          <cell r="B81" t="str">
            <v xml:space="preserve">CHARGES A/C - INCENTI PAY MEDICAL LEAVE                                        </v>
          </cell>
          <cell r="C81">
            <v>190474.66274999999</v>
          </cell>
          <cell r="D81">
            <v>0</v>
          </cell>
          <cell r="E81">
            <v>41364</v>
          </cell>
          <cell r="F81" t="str">
            <v>FCBU</v>
          </cell>
          <cell r="H81">
            <v>190548.704941</v>
          </cell>
        </row>
        <row r="82">
          <cell r="A82">
            <v>260260</v>
          </cell>
          <cell r="B82" t="str">
            <v xml:space="preserve">CHARGES A/C - INCENTI PAY CASUAL LEAVE                                        </v>
          </cell>
          <cell r="C82">
            <v>187595.73525</v>
          </cell>
          <cell r="D82">
            <v>0</v>
          </cell>
          <cell r="E82">
            <v>41364</v>
          </cell>
          <cell r="F82" t="str">
            <v>FCBU</v>
          </cell>
          <cell r="H82">
            <v>187668.65833099998</v>
          </cell>
        </row>
        <row r="83">
          <cell r="A83">
            <v>260280</v>
          </cell>
          <cell r="B83" t="str">
            <v xml:space="preserve">CHARGES A/C - STAFF RETIRE BEN (PENSION)                                        </v>
          </cell>
          <cell r="C83">
            <v>1401222.2077500001</v>
          </cell>
          <cell r="D83">
            <v>0</v>
          </cell>
          <cell r="E83">
            <v>41364</v>
          </cell>
          <cell r="F83" t="str">
            <v>FCBU</v>
          </cell>
          <cell r="H83">
            <v>1401766.897321</v>
          </cell>
        </row>
        <row r="84">
          <cell r="A84">
            <v>260320</v>
          </cell>
          <cell r="B84" t="str">
            <v xml:space="preserve">CHARGES A/C STAFF TRANSPORT ALLOWANCES                                        </v>
          </cell>
          <cell r="C84">
            <v>48358.372499999998</v>
          </cell>
          <cell r="D84">
            <v>0</v>
          </cell>
          <cell r="E84">
            <v>41364</v>
          </cell>
          <cell r="F84" t="str">
            <v>FCBU</v>
          </cell>
          <cell r="H84">
            <v>48377.170589999994</v>
          </cell>
        </row>
        <row r="85">
          <cell r="A85">
            <v>262020</v>
          </cell>
          <cell r="B85" t="str">
            <v xml:space="preserve">CHARGES A/C. - RENT                                        </v>
          </cell>
          <cell r="C85">
            <v>190408.71375</v>
          </cell>
          <cell r="D85">
            <v>0</v>
          </cell>
          <cell r="E85">
            <v>41364</v>
          </cell>
          <cell r="F85" t="str">
            <v>FCBU</v>
          </cell>
          <cell r="H85">
            <v>190482.730305</v>
          </cell>
        </row>
        <row r="86">
          <cell r="A86">
            <v>262040</v>
          </cell>
          <cell r="B86" t="str">
            <v xml:space="preserve">CHARGES A/C. - INSURANCE                                        </v>
          </cell>
          <cell r="C86">
            <v>0</v>
          </cell>
          <cell r="D86">
            <v>0</v>
          </cell>
          <cell r="E86">
            <v>41364</v>
          </cell>
          <cell r="F86" t="str">
            <v>FCBU</v>
          </cell>
          <cell r="H86">
            <v>0</v>
          </cell>
        </row>
        <row r="87">
          <cell r="A87">
            <v>262060</v>
          </cell>
          <cell r="B87" t="str">
            <v xml:space="preserve">CHARGES A/C. - ELECTRICITY                                        </v>
          </cell>
          <cell r="C87">
            <v>784838.75699999998</v>
          </cell>
          <cell r="D87">
            <v>0</v>
          </cell>
          <cell r="E87">
            <v>41364</v>
          </cell>
          <cell r="F87" t="str">
            <v>FCBU</v>
          </cell>
          <cell r="H87">
            <v>785143.84314799996</v>
          </cell>
        </row>
        <row r="88">
          <cell r="A88">
            <v>262080</v>
          </cell>
          <cell r="B88" t="str">
            <v xml:space="preserve">CHARGES A/C. - MAINTENANCE OF PREMISES                                        </v>
          </cell>
          <cell r="C88">
            <v>81128.684250000006</v>
          </cell>
          <cell r="D88">
            <v>0</v>
          </cell>
          <cell r="E88">
            <v>41364</v>
          </cell>
          <cell r="F88" t="str">
            <v>FCBU</v>
          </cell>
          <cell r="H88">
            <v>81160.220967000016</v>
          </cell>
        </row>
        <row r="89">
          <cell r="A89">
            <v>262100</v>
          </cell>
          <cell r="B89" t="str">
            <v xml:space="preserve">CHARGES A/C - MAINT OF FU EQUIP &amp; MACHI                                        </v>
          </cell>
          <cell r="C89">
            <v>44116.076249999998</v>
          </cell>
          <cell r="D89">
            <v>0</v>
          </cell>
          <cell r="E89">
            <v>41364</v>
          </cell>
          <cell r="F89" t="str">
            <v>FCBU</v>
          </cell>
          <cell r="H89">
            <v>44133.225254999998</v>
          </cell>
        </row>
        <row r="90">
          <cell r="A90">
            <v>262120</v>
          </cell>
          <cell r="B90" t="str">
            <v xml:space="preserve">CHARGES A/C. - MAINTENANCE OF COMPUTERS                                        </v>
          </cell>
          <cell r="C90">
            <v>0</v>
          </cell>
          <cell r="D90">
            <v>0</v>
          </cell>
          <cell r="E90">
            <v>41364</v>
          </cell>
          <cell r="F90" t="str">
            <v>FCBU</v>
          </cell>
          <cell r="H90">
            <v>0</v>
          </cell>
        </row>
        <row r="91">
          <cell r="A91">
            <v>262150</v>
          </cell>
          <cell r="B91" t="str">
            <v xml:space="preserve">CHARGES A/C. - LABOUR SERVICES OBTAINED                                        </v>
          </cell>
          <cell r="C91">
            <v>50141.531999999999</v>
          </cell>
          <cell r="D91">
            <v>0</v>
          </cell>
          <cell r="E91">
            <v>41364</v>
          </cell>
          <cell r="F91" t="str">
            <v>FCBU</v>
          </cell>
          <cell r="H91">
            <v>50161.023247999998</v>
          </cell>
        </row>
        <row r="92">
          <cell r="A92">
            <v>263960</v>
          </cell>
          <cell r="B92" t="str">
            <v xml:space="preserve">CHARGES A/C- MONEY MARKET BORROWING FEES                                        </v>
          </cell>
          <cell r="C92">
            <v>38047.5</v>
          </cell>
          <cell r="D92">
            <v>0</v>
          </cell>
          <cell r="E92">
            <v>41364</v>
          </cell>
          <cell r="F92" t="str">
            <v>FCBU</v>
          </cell>
          <cell r="H92">
            <v>38062.29</v>
          </cell>
        </row>
        <row r="93">
          <cell r="A93">
            <v>264000</v>
          </cell>
          <cell r="B93" t="str">
            <v xml:space="preserve">C/A- ACTIVITY FEES PAID TO FOREIGN BANKS                                        </v>
          </cell>
          <cell r="C93">
            <v>91757.887499999997</v>
          </cell>
          <cell r="D93">
            <v>0</v>
          </cell>
          <cell r="E93">
            <v>41364</v>
          </cell>
          <cell r="F93" t="str">
            <v>FCBU</v>
          </cell>
          <cell r="H93">
            <v>91793.556049999999</v>
          </cell>
        </row>
        <row r="94">
          <cell r="A94">
            <v>264010</v>
          </cell>
          <cell r="B94" t="str">
            <v xml:space="preserve">CHARGES A/C - FEES PAID TO AGENTS                                        </v>
          </cell>
          <cell r="C94">
            <v>0</v>
          </cell>
          <cell r="D94">
            <v>0</v>
          </cell>
          <cell r="E94">
            <v>41364</v>
          </cell>
          <cell r="F94" t="str">
            <v>FCBU</v>
          </cell>
          <cell r="H94">
            <v>0</v>
          </cell>
        </row>
        <row r="95">
          <cell r="A95">
            <v>268030</v>
          </cell>
          <cell r="B95" t="str">
            <v xml:space="preserve">CHARGES A/C. - TRANPORT                                        </v>
          </cell>
          <cell r="C95">
            <v>0</v>
          </cell>
          <cell r="D95">
            <v>0</v>
          </cell>
          <cell r="E95">
            <v>41364</v>
          </cell>
          <cell r="F95" t="str">
            <v>FCBU</v>
          </cell>
          <cell r="H95">
            <v>0</v>
          </cell>
        </row>
        <row r="96">
          <cell r="A96">
            <v>268050</v>
          </cell>
          <cell r="B96" t="str">
            <v xml:space="preserve">CHARGES A/C. - WATER SUPPLY                                        </v>
          </cell>
          <cell r="C96">
            <v>30496.339499999998</v>
          </cell>
          <cell r="D96">
            <v>0</v>
          </cell>
          <cell r="E96">
            <v>41364</v>
          </cell>
          <cell r="F96" t="str">
            <v>FCBU</v>
          </cell>
          <cell r="H96">
            <v>30508.194177999998</v>
          </cell>
        </row>
        <row r="97">
          <cell r="A97">
            <v>268080</v>
          </cell>
          <cell r="B97" t="str">
            <v xml:space="preserve">CHARGES A/C. - MESSENGERS UNIFORMS                                        </v>
          </cell>
          <cell r="C97">
            <v>0</v>
          </cell>
          <cell r="D97">
            <v>0</v>
          </cell>
          <cell r="E97">
            <v>41364</v>
          </cell>
          <cell r="F97" t="str">
            <v>FCBU</v>
          </cell>
          <cell r="H97">
            <v>0</v>
          </cell>
        </row>
        <row r="98">
          <cell r="A98">
            <v>268100</v>
          </cell>
          <cell r="B98" t="str">
            <v xml:space="preserve">CHARGES A/C. - POSTAGE                                        </v>
          </cell>
          <cell r="C98">
            <v>0</v>
          </cell>
          <cell r="D98">
            <v>0</v>
          </cell>
          <cell r="E98">
            <v>41364</v>
          </cell>
          <cell r="F98" t="str">
            <v>FCBU</v>
          </cell>
          <cell r="H98">
            <v>0</v>
          </cell>
        </row>
        <row r="99">
          <cell r="A99">
            <v>268120</v>
          </cell>
          <cell r="B99" t="str">
            <v xml:space="preserve">CHARGES A/C - TELE RENTAL &amp; TELE CALLS                                        </v>
          </cell>
          <cell r="C99">
            <v>173586.64575</v>
          </cell>
          <cell r="D99">
            <v>0</v>
          </cell>
          <cell r="E99">
            <v>41364</v>
          </cell>
          <cell r="F99" t="str">
            <v>FCBU</v>
          </cell>
          <cell r="H99">
            <v>173654.12315300002</v>
          </cell>
        </row>
        <row r="100">
          <cell r="A100">
            <v>268130</v>
          </cell>
          <cell r="B100" t="str">
            <v xml:space="preserve">CHARGES A/C - TELE &amp; OTHER  EXPENSES                                        </v>
          </cell>
          <cell r="C100">
            <v>0</v>
          </cell>
          <cell r="D100">
            <v>0</v>
          </cell>
          <cell r="E100">
            <v>41364</v>
          </cell>
          <cell r="F100" t="str">
            <v>FCBU</v>
          </cell>
          <cell r="H100">
            <v>0</v>
          </cell>
        </row>
        <row r="101">
          <cell r="A101">
            <v>268160</v>
          </cell>
          <cell r="B101" t="str">
            <v xml:space="preserve">CHARGES A/C. - REUTER &amp; OTHER SERVICES                                        </v>
          </cell>
          <cell r="C101">
            <v>0</v>
          </cell>
          <cell r="D101">
            <v>0</v>
          </cell>
          <cell r="E101">
            <v>41364</v>
          </cell>
          <cell r="F101" t="str">
            <v>FCBU</v>
          </cell>
          <cell r="H101">
            <v>0</v>
          </cell>
        </row>
        <row r="102">
          <cell r="A102">
            <v>268170</v>
          </cell>
          <cell r="B102" t="str">
            <v xml:space="preserve">CHARGES A/C. - COURIER SERVICES                                        </v>
          </cell>
          <cell r="C102">
            <v>149393.50875000001</v>
          </cell>
          <cell r="D102">
            <v>0</v>
          </cell>
          <cell r="E102">
            <v>41364</v>
          </cell>
          <cell r="F102" t="str">
            <v>FCBU</v>
          </cell>
          <cell r="H102">
            <v>149451.58168500001</v>
          </cell>
        </row>
        <row r="103">
          <cell r="A103">
            <v>268180</v>
          </cell>
          <cell r="B103" t="str">
            <v xml:space="preserve">CHARGES A/C. - NEWSPAPERS &amp; PERIODICALS                                        </v>
          </cell>
          <cell r="C103">
            <v>9248.0789999999997</v>
          </cell>
          <cell r="D103">
            <v>0</v>
          </cell>
          <cell r="E103">
            <v>41364</v>
          </cell>
          <cell r="F103" t="str">
            <v>FCBU</v>
          </cell>
          <cell r="H103">
            <v>9251.6739560000005</v>
          </cell>
        </row>
        <row r="104">
          <cell r="A104">
            <v>268190</v>
          </cell>
          <cell r="B104" t="str">
            <v xml:space="preserve">CHARGES A/C. - STATIONERY                                        </v>
          </cell>
          <cell r="C104">
            <v>59446.682249999998</v>
          </cell>
          <cell r="D104">
            <v>0</v>
          </cell>
          <cell r="E104">
            <v>41364</v>
          </cell>
          <cell r="F104" t="str">
            <v>FCBU</v>
          </cell>
          <cell r="H104">
            <v>59469.790638999999</v>
          </cell>
        </row>
        <row r="105">
          <cell r="A105">
            <v>268250</v>
          </cell>
          <cell r="B105" t="str">
            <v xml:space="preserve">CHARGES A/C - PUBLICITY &amp; PUBLIC RELATI                                        </v>
          </cell>
          <cell r="C105">
            <v>0</v>
          </cell>
          <cell r="D105">
            <v>0</v>
          </cell>
          <cell r="E105">
            <v>41364</v>
          </cell>
          <cell r="F105" t="str">
            <v>FCBU</v>
          </cell>
          <cell r="H105">
            <v>0</v>
          </cell>
        </row>
        <row r="106">
          <cell r="A106">
            <v>268270</v>
          </cell>
          <cell r="B106" t="str">
            <v xml:space="preserve">CHARGES A/C. - ENTERTAINMENT                                        </v>
          </cell>
          <cell r="C106">
            <v>20525.358</v>
          </cell>
          <cell r="D106">
            <v>0</v>
          </cell>
          <cell r="E106">
            <v>41364</v>
          </cell>
          <cell r="F106" t="str">
            <v>FCBU</v>
          </cell>
          <cell r="H106">
            <v>20533.336712</v>
          </cell>
        </row>
        <row r="107">
          <cell r="A107">
            <v>268290</v>
          </cell>
          <cell r="B107" t="str">
            <v xml:space="preserve">CHARGES A/C. - BUSINESS PROMOTIONS                                        </v>
          </cell>
          <cell r="C107">
            <v>1010.79525</v>
          </cell>
          <cell r="D107">
            <v>0</v>
          </cell>
          <cell r="E107">
            <v>41364</v>
          </cell>
          <cell r="F107" t="str">
            <v>FCBU</v>
          </cell>
          <cell r="H107">
            <v>1011.188171</v>
          </cell>
        </row>
        <row r="108">
          <cell r="A108">
            <v>268340</v>
          </cell>
          <cell r="B108" t="str">
            <v xml:space="preserve">CHARGES A/C. - DATA COMMUNICATION                                        </v>
          </cell>
          <cell r="C108">
            <v>37107.726750000002</v>
          </cell>
          <cell r="D108">
            <v>0</v>
          </cell>
          <cell r="E108">
            <v>41364</v>
          </cell>
          <cell r="F108" t="str">
            <v>FCBU</v>
          </cell>
          <cell r="H108">
            <v>37122.151437000008</v>
          </cell>
        </row>
        <row r="109">
          <cell r="A109">
            <v>268460</v>
          </cell>
          <cell r="B109" t="str">
            <v xml:space="preserve">CHARGES A/C. - STAFF TRAVELLING                                        </v>
          </cell>
          <cell r="C109">
            <v>9371.0992499999993</v>
          </cell>
          <cell r="D109">
            <v>0</v>
          </cell>
          <cell r="E109">
            <v>41364</v>
          </cell>
          <cell r="F109" t="str">
            <v>FCBU</v>
          </cell>
          <cell r="H109">
            <v>9374.7420269999984</v>
          </cell>
        </row>
        <row r="110">
          <cell r="A110">
            <v>268650</v>
          </cell>
          <cell r="B110" t="str">
            <v xml:space="preserve">CHARGES A/C. - SUNDRIES                                        </v>
          </cell>
          <cell r="C110">
            <v>120446.97074999999</v>
          </cell>
          <cell r="D110">
            <v>0</v>
          </cell>
          <cell r="E110">
            <v>41364</v>
          </cell>
          <cell r="F110" t="str">
            <v>FCBU</v>
          </cell>
          <cell r="H110">
            <v>120493.791453</v>
          </cell>
        </row>
        <row r="111">
          <cell r="A111">
            <v>268840</v>
          </cell>
          <cell r="B111" t="str">
            <v xml:space="preserve">CHARGES A/C VAT PAID                                        </v>
          </cell>
          <cell r="C111">
            <v>0</v>
          </cell>
          <cell r="D111">
            <v>0</v>
          </cell>
          <cell r="E111">
            <v>41364</v>
          </cell>
          <cell r="F111" t="str">
            <v>FCBU</v>
          </cell>
          <cell r="H111">
            <v>0</v>
          </cell>
        </row>
        <row r="112">
          <cell r="A112">
            <v>268860</v>
          </cell>
          <cell r="B112" t="str">
            <v xml:space="preserve">CHARGES A/C TAX                                        </v>
          </cell>
          <cell r="C112">
            <v>133370089.48125</v>
          </cell>
          <cell r="D112">
            <v>0</v>
          </cell>
          <cell r="E112">
            <v>41364</v>
          </cell>
          <cell r="F112" t="str">
            <v>FCBU</v>
          </cell>
          <cell r="H112">
            <v>133421933.718675</v>
          </cell>
        </row>
        <row r="113">
          <cell r="A113">
            <v>290000</v>
          </cell>
          <cell r="B113" t="str">
            <v xml:space="preserve">CHARGES A/C - PROVI. FOR BAD &amp; DOUBTFUL DEBTS                                  </v>
          </cell>
          <cell r="C113">
            <v>809044.57649999997</v>
          </cell>
          <cell r="D113">
            <v>0</v>
          </cell>
          <cell r="E113">
            <v>41364</v>
          </cell>
          <cell r="F113" t="str">
            <v>FCBU</v>
          </cell>
          <cell r="H113">
            <v>809359.07204599993</v>
          </cell>
        </row>
        <row r="114">
          <cell r="F114" t="str">
            <v>FCBU</v>
          </cell>
        </row>
        <row r="115">
          <cell r="A115" t="str">
            <v>Expense Sub Total</v>
          </cell>
          <cell r="C115">
            <v>1012355873.47725</v>
          </cell>
          <cell r="D115">
            <v>0</v>
          </cell>
          <cell r="F115" t="str">
            <v>FCBU</v>
          </cell>
          <cell r="H115">
            <v>1012749401.1300191</v>
          </cell>
          <cell r="I115">
            <v>1506766007</v>
          </cell>
        </row>
        <row r="116">
          <cell r="F116" t="str">
            <v>FCBU</v>
          </cell>
          <cell r="I116">
            <v>990869209</v>
          </cell>
        </row>
        <row r="117">
          <cell r="A117">
            <v>300000</v>
          </cell>
          <cell r="B117" t="str">
            <v xml:space="preserve">CASH IN HAND                                        </v>
          </cell>
          <cell r="C117">
            <v>2132755.022175</v>
          </cell>
          <cell r="D117">
            <v>0</v>
          </cell>
          <cell r="E117">
            <v>41364</v>
          </cell>
          <cell r="F117" t="str">
            <v>FCBU</v>
          </cell>
          <cell r="H117">
            <v>2132755.022175</v>
          </cell>
          <cell r="I117">
            <v>515896798</v>
          </cell>
        </row>
        <row r="118">
          <cell r="A118">
            <v>300030</v>
          </cell>
          <cell r="B118" t="str">
            <v xml:space="preserve">CASH IN TRANSIT                                        </v>
          </cell>
          <cell r="C118">
            <v>0</v>
          </cell>
          <cell r="D118">
            <v>0</v>
          </cell>
          <cell r="E118">
            <v>41364</v>
          </cell>
          <cell r="F118" t="str">
            <v>FCBU</v>
          </cell>
          <cell r="H118">
            <v>0</v>
          </cell>
        </row>
        <row r="119">
          <cell r="A119">
            <v>300910</v>
          </cell>
          <cell r="B119" t="str">
            <v xml:space="preserve">FOREIGN CHEQUES &amp; DRAFTS PURCHASED                                        </v>
          </cell>
          <cell r="C119">
            <v>4487873.8387500001</v>
          </cell>
          <cell r="D119">
            <v>0</v>
          </cell>
          <cell r="E119">
            <v>41364</v>
          </cell>
          <cell r="F119" t="str">
            <v>FCBU</v>
          </cell>
          <cell r="H119">
            <v>4487873.8387500001</v>
          </cell>
        </row>
        <row r="120">
          <cell r="A120">
            <v>301120</v>
          </cell>
          <cell r="B120" t="str">
            <v xml:space="preserve">CAB. - NATI. AUS.BANK LTD, MELBO. - AU                                        </v>
          </cell>
          <cell r="C120">
            <v>12346362.5289336</v>
          </cell>
          <cell r="D120">
            <v>0</v>
          </cell>
          <cell r="E120">
            <v>41364</v>
          </cell>
          <cell r="F120" t="str">
            <v>FCBU</v>
          </cell>
          <cell r="H120">
            <v>12346362.5289336</v>
          </cell>
        </row>
        <row r="121">
          <cell r="A121">
            <v>301240</v>
          </cell>
          <cell r="B121" t="str">
            <v xml:space="preserve">CAB STANDERD -CHARTED HDK                                        </v>
          </cell>
          <cell r="C121">
            <v>372834.67645199999</v>
          </cell>
          <cell r="D121">
            <v>0</v>
          </cell>
          <cell r="E121">
            <v>41364</v>
          </cell>
          <cell r="F121" t="str">
            <v>FCBU</v>
          </cell>
          <cell r="H121">
            <v>372834.67645199999</v>
          </cell>
        </row>
        <row r="122">
          <cell r="A122">
            <v>301280</v>
          </cell>
          <cell r="B122" t="str">
            <v xml:space="preserve">CAB. - SUMITOMO MITSUI BANKING CORPORAT.                                        </v>
          </cell>
          <cell r="C122">
            <v>3447615.7715399996</v>
          </cell>
          <cell r="D122">
            <v>0</v>
          </cell>
          <cell r="E122">
            <v>41364</v>
          </cell>
          <cell r="F122" t="str">
            <v>FCBU</v>
          </cell>
          <cell r="H122">
            <v>3447615.7715399996</v>
          </cell>
        </row>
        <row r="123">
          <cell r="A123">
            <v>301500</v>
          </cell>
          <cell r="B123" t="str">
            <v xml:space="preserve">CAB.- OVERSEA CHINESE BANKING CO LTD-SGD                                        </v>
          </cell>
          <cell r="C123">
            <v>12303568.21294125</v>
          </cell>
          <cell r="D123">
            <v>0</v>
          </cell>
          <cell r="E123">
            <v>41364</v>
          </cell>
          <cell r="F123" t="str">
            <v>FCBU</v>
          </cell>
          <cell r="H123">
            <v>12303568.21294125</v>
          </cell>
        </row>
        <row r="124">
          <cell r="A124">
            <v>301600</v>
          </cell>
          <cell r="B124" t="str">
            <v xml:space="preserve">CAB. - BARCLAYS BANK PLC                                        </v>
          </cell>
          <cell r="C124">
            <v>4898058.0151712243</v>
          </cell>
          <cell r="D124">
            <v>0</v>
          </cell>
          <cell r="E124">
            <v>41364</v>
          </cell>
          <cell r="F124" t="str">
            <v>FCBU</v>
          </cell>
          <cell r="H124">
            <v>4898058.0151712243</v>
          </cell>
        </row>
        <row r="125">
          <cell r="A125">
            <v>301800</v>
          </cell>
          <cell r="B125" t="str">
            <v xml:space="preserve">CAB. - AMEX LTD, NEW YORK USD"                                        </v>
          </cell>
          <cell r="C125">
            <v>0</v>
          </cell>
          <cell r="D125">
            <v>0</v>
          </cell>
          <cell r="E125">
            <v>41364</v>
          </cell>
          <cell r="F125" t="str">
            <v>FCBU</v>
          </cell>
          <cell r="H125">
            <v>0</v>
          </cell>
        </row>
        <row r="126">
          <cell r="A126">
            <v>301840</v>
          </cell>
          <cell r="B126" t="str">
            <v xml:space="preserve">CAB. - STANDARD CHARTERED BANK USD                                        </v>
          </cell>
          <cell r="C126">
            <v>450390970.58924997</v>
          </cell>
          <cell r="D126">
            <v>0</v>
          </cell>
          <cell r="E126">
            <v>41364</v>
          </cell>
          <cell r="F126" t="str">
            <v>FCBU</v>
          </cell>
          <cell r="H126">
            <v>450390970.58924997</v>
          </cell>
        </row>
        <row r="127">
          <cell r="A127">
            <v>301880</v>
          </cell>
          <cell r="B127" t="str">
            <v xml:space="preserve">CAB. - MASHREQ BANK PSC                                        </v>
          </cell>
          <cell r="C127">
            <v>89076524.180250004</v>
          </cell>
          <cell r="D127">
            <v>0</v>
          </cell>
          <cell r="E127">
            <v>41364</v>
          </cell>
          <cell r="F127" t="str">
            <v>FCBU</v>
          </cell>
          <cell r="H127">
            <v>89076524.180250004</v>
          </cell>
        </row>
        <row r="128">
          <cell r="A128">
            <v>302360</v>
          </cell>
          <cell r="B128" t="str">
            <v xml:space="preserve">CITIBANK LONDON - EURO                                        </v>
          </cell>
          <cell r="C128">
            <v>144041435.89902991</v>
          </cell>
          <cell r="D128">
            <v>0</v>
          </cell>
          <cell r="E128">
            <v>41364</v>
          </cell>
          <cell r="F128" t="str">
            <v>FCBU</v>
          </cell>
          <cell r="H128">
            <v>144041435.89902991</v>
          </cell>
        </row>
        <row r="129">
          <cell r="A129">
            <v>302640</v>
          </cell>
          <cell r="B129" t="str">
            <v xml:space="preserve">MONEY MARKET LENDING MML                                        </v>
          </cell>
          <cell r="C129">
            <v>8370450000</v>
          </cell>
          <cell r="D129">
            <v>0</v>
          </cell>
          <cell r="E129">
            <v>41364</v>
          </cell>
          <cell r="F129" t="str">
            <v>FCBU</v>
          </cell>
          <cell r="H129">
            <v>8370450000</v>
          </cell>
        </row>
        <row r="130">
          <cell r="A130">
            <v>303120</v>
          </cell>
          <cell r="B130" t="str">
            <v xml:space="preserve">SLDB BONDS FC                                        </v>
          </cell>
          <cell r="C130">
            <v>10906950000</v>
          </cell>
          <cell r="D130">
            <v>0</v>
          </cell>
          <cell r="E130">
            <v>41364</v>
          </cell>
          <cell r="F130" t="str">
            <v>FCBU</v>
          </cell>
          <cell r="H130">
            <v>10906950000</v>
          </cell>
        </row>
        <row r="131">
          <cell r="A131">
            <v>305000</v>
          </cell>
          <cell r="B131" t="str">
            <v xml:space="preserve">IMPORT SIGHT BILLS DRAWN                                        </v>
          </cell>
          <cell r="C131">
            <v>0</v>
          </cell>
          <cell r="D131">
            <v>0</v>
          </cell>
          <cell r="E131">
            <v>41364</v>
          </cell>
          <cell r="F131" t="str">
            <v>FCBU</v>
          </cell>
          <cell r="H131">
            <v>0</v>
          </cell>
        </row>
        <row r="132">
          <cell r="A132">
            <v>306000</v>
          </cell>
          <cell r="B132" t="str">
            <v xml:space="preserve">IMPORT USANCE BILLS                                        </v>
          </cell>
          <cell r="C132">
            <v>530699.21250000002</v>
          </cell>
          <cell r="D132">
            <v>0</v>
          </cell>
          <cell r="E132">
            <v>41364</v>
          </cell>
          <cell r="F132" t="str">
            <v>FCBU</v>
          </cell>
          <cell r="H132">
            <v>530699.21250000002</v>
          </cell>
        </row>
        <row r="133">
          <cell r="A133">
            <v>310800</v>
          </cell>
          <cell r="B133" t="str">
            <v xml:space="preserve">FOREIGN BILLS DISC/NEGO UNDER LC                                        </v>
          </cell>
          <cell r="C133">
            <v>299951948.24549997</v>
          </cell>
          <cell r="D133">
            <v>0</v>
          </cell>
          <cell r="E133">
            <v>41364</v>
          </cell>
          <cell r="F133" t="str">
            <v>FCBU</v>
          </cell>
          <cell r="H133">
            <v>299951948.24549997</v>
          </cell>
        </row>
        <row r="134">
          <cell r="A134">
            <v>312200</v>
          </cell>
          <cell r="B134" t="str">
            <v xml:space="preserve">FOREIGN BILLS DISCOUNTED/NEGOTIATED                                        </v>
          </cell>
          <cell r="C134">
            <v>177375424.67775002</v>
          </cell>
          <cell r="D134">
            <v>0</v>
          </cell>
          <cell r="E134">
            <v>41364</v>
          </cell>
          <cell r="F134" t="str">
            <v>FCBU</v>
          </cell>
          <cell r="H134">
            <v>177375424.67775002</v>
          </cell>
        </row>
        <row r="135">
          <cell r="A135">
            <v>313500</v>
          </cell>
          <cell r="B135" t="str">
            <v xml:space="preserve">DOM. BILLS OF EXCH. DISC/NEGO LC                                        </v>
          </cell>
          <cell r="C135">
            <v>31596083.463750001</v>
          </cell>
          <cell r="D135">
            <v>0</v>
          </cell>
          <cell r="E135">
            <v>41364</v>
          </cell>
          <cell r="F135" t="str">
            <v>FCBU</v>
          </cell>
          <cell r="H135">
            <v>31596083.463750001</v>
          </cell>
        </row>
        <row r="136">
          <cell r="A136">
            <v>313600</v>
          </cell>
          <cell r="B136" t="str">
            <v xml:space="preserve">DOM BILLS OF EXCH DISCED/NEGOTIATION                                        </v>
          </cell>
          <cell r="C136">
            <v>0</v>
          </cell>
          <cell r="D136">
            <v>0</v>
          </cell>
          <cell r="E136">
            <v>41364</v>
          </cell>
          <cell r="F136" t="str">
            <v>FCBU</v>
          </cell>
          <cell r="H136">
            <v>0</v>
          </cell>
        </row>
        <row r="137">
          <cell r="A137">
            <v>316500</v>
          </cell>
          <cell r="B137" t="str">
            <v xml:space="preserve">OVERDRAFT                                        </v>
          </cell>
          <cell r="C137">
            <v>578257412.42376184</v>
          </cell>
          <cell r="D137">
            <v>0</v>
          </cell>
          <cell r="E137">
            <v>41364</v>
          </cell>
          <cell r="F137" t="str">
            <v>FCBU</v>
          </cell>
          <cell r="H137">
            <v>578257412.42376184</v>
          </cell>
        </row>
        <row r="138">
          <cell r="A138">
            <v>320500</v>
          </cell>
          <cell r="B138" t="str">
            <v xml:space="preserve">TRUST RECEIPT LOAN - IMPORT                                        </v>
          </cell>
          <cell r="C138">
            <v>43107584.141999997</v>
          </cell>
          <cell r="D138">
            <v>0</v>
          </cell>
          <cell r="E138">
            <v>41364</v>
          </cell>
          <cell r="F138" t="str">
            <v>FCBU</v>
          </cell>
          <cell r="H138">
            <v>43107584.141999997</v>
          </cell>
        </row>
        <row r="139">
          <cell r="A139">
            <v>323300</v>
          </cell>
          <cell r="B139" t="str">
            <v xml:space="preserve">TRUST RECEIPT LOAN - EXPORT                                        </v>
          </cell>
          <cell r="C139">
            <v>1386793200.675</v>
          </cell>
          <cell r="D139">
            <v>0</v>
          </cell>
          <cell r="E139">
            <v>41364</v>
          </cell>
          <cell r="F139" t="str">
            <v>FCBU</v>
          </cell>
          <cell r="H139">
            <v>1386793200.675</v>
          </cell>
        </row>
        <row r="140">
          <cell r="A140">
            <v>324600</v>
          </cell>
          <cell r="B140" t="str">
            <v xml:space="preserve">SHORT TERM LOAN - EXPORTS                                        </v>
          </cell>
          <cell r="C140">
            <v>72410279679.720749</v>
          </cell>
          <cell r="D140">
            <v>0</v>
          </cell>
          <cell r="E140">
            <v>41364</v>
          </cell>
          <cell r="F140" t="str">
            <v>FCBU</v>
          </cell>
          <cell r="H140">
            <v>72410279679.720749</v>
          </cell>
        </row>
        <row r="141">
          <cell r="A141">
            <v>324950</v>
          </cell>
          <cell r="B141" t="str">
            <v xml:space="preserve">GUARANTEE CLAIMS PAID                                        </v>
          </cell>
          <cell r="C141">
            <v>126.825</v>
          </cell>
          <cell r="D141">
            <v>0</v>
          </cell>
          <cell r="E141">
            <v>41364</v>
          </cell>
          <cell r="F141" t="str">
            <v>FCBU</v>
          </cell>
          <cell r="H141">
            <v>126.825</v>
          </cell>
        </row>
        <row r="142">
          <cell r="A142">
            <v>325000</v>
          </cell>
          <cell r="B142" t="str">
            <v xml:space="preserve">SHORT TERM BLOCKLOANS                                        </v>
          </cell>
          <cell r="C142">
            <v>0</v>
          </cell>
          <cell r="D142">
            <v>0</v>
          </cell>
          <cell r="E142">
            <v>41364</v>
          </cell>
          <cell r="F142" t="str">
            <v>FCBU</v>
          </cell>
          <cell r="H142">
            <v>0</v>
          </cell>
        </row>
        <row r="143">
          <cell r="A143">
            <v>329000</v>
          </cell>
          <cell r="B143" t="str">
            <v xml:space="preserve">MEDIUM TERM BLOCKLOANS                                        </v>
          </cell>
          <cell r="C143">
            <v>1464874308.0764999</v>
          </cell>
          <cell r="D143">
            <v>0</v>
          </cell>
          <cell r="E143">
            <v>41364</v>
          </cell>
          <cell r="F143" t="str">
            <v>FCBU</v>
          </cell>
          <cell r="H143">
            <v>1464874308.0764999</v>
          </cell>
        </row>
        <row r="144">
          <cell r="A144">
            <v>333000</v>
          </cell>
          <cell r="B144" t="str">
            <v xml:space="preserve">LONG TERM BLOCKLOANS                                        </v>
          </cell>
          <cell r="C144">
            <v>1019794018.9515001</v>
          </cell>
          <cell r="D144">
            <v>0</v>
          </cell>
          <cell r="E144">
            <v>41364</v>
          </cell>
          <cell r="F144" t="str">
            <v>FCBU</v>
          </cell>
          <cell r="H144">
            <v>1019794018.9515001</v>
          </cell>
        </row>
        <row r="145">
          <cell r="A145">
            <v>378000</v>
          </cell>
          <cell r="B145" t="str">
            <v xml:space="preserve">SYNDICATED LOANS                                        </v>
          </cell>
          <cell r="C145">
            <v>1267717239.8812501</v>
          </cell>
          <cell r="D145">
            <v>0</v>
          </cell>
          <cell r="E145">
            <v>41364</v>
          </cell>
          <cell r="F145" t="str">
            <v>FCBU</v>
          </cell>
          <cell r="H145">
            <v>1267717239.8812501</v>
          </cell>
        </row>
        <row r="146">
          <cell r="A146">
            <v>393160</v>
          </cell>
          <cell r="B146" t="str">
            <v xml:space="preserve">PRE PAID INTEREST ON  MMB                                        </v>
          </cell>
          <cell r="C146">
            <v>45401202.852750003</v>
          </cell>
          <cell r="D146">
            <v>0</v>
          </cell>
          <cell r="E146">
            <v>41364</v>
          </cell>
          <cell r="F146" t="str">
            <v>FCBU</v>
          </cell>
          <cell r="H146">
            <v>45401202.852750003</v>
          </cell>
        </row>
        <row r="147">
          <cell r="A147">
            <v>393400</v>
          </cell>
          <cell r="B147" t="str">
            <v xml:space="preserve">SUSPENSE A/C - STATIONERY                                        </v>
          </cell>
          <cell r="C147">
            <v>315274.26750000002</v>
          </cell>
          <cell r="D147">
            <v>0</v>
          </cell>
          <cell r="E147">
            <v>41364</v>
          </cell>
          <cell r="F147" t="str">
            <v>FCBU</v>
          </cell>
          <cell r="H147">
            <v>315274.26750000002</v>
          </cell>
        </row>
        <row r="148">
          <cell r="A148">
            <v>393450</v>
          </cell>
          <cell r="B148" t="str">
            <v xml:space="preserve">SUSPENSE A/C - MORTGAGE PROPERTIES PURC.                                       </v>
          </cell>
          <cell r="C148">
            <v>2536.5</v>
          </cell>
          <cell r="D148">
            <v>0</v>
          </cell>
          <cell r="E148">
            <v>41364</v>
          </cell>
          <cell r="F148" t="str">
            <v>FCBU</v>
          </cell>
          <cell r="H148">
            <v>2536.5</v>
          </cell>
        </row>
        <row r="149">
          <cell r="A149">
            <v>393840</v>
          </cell>
          <cell r="B149" t="str">
            <v xml:space="preserve">SUSPENCE A/C -EXP -INCURRED TAKE OVERS                                        </v>
          </cell>
          <cell r="C149">
            <v>80303091.547499999</v>
          </cell>
          <cell r="D149">
            <v>0</v>
          </cell>
          <cell r="E149">
            <v>41364</v>
          </cell>
          <cell r="F149" t="str">
            <v>FCBU</v>
          </cell>
          <cell r="H149">
            <v>80303091.547499999</v>
          </cell>
        </row>
        <row r="150">
          <cell r="A150">
            <v>393880</v>
          </cell>
          <cell r="B150" t="str">
            <v xml:space="preserve">SUSPENSE A/C - MISCELLANEOUS                                        </v>
          </cell>
          <cell r="C150">
            <v>0</v>
          </cell>
          <cell r="D150">
            <v>0</v>
          </cell>
          <cell r="E150">
            <v>41364</v>
          </cell>
          <cell r="F150" t="str">
            <v>FCBU</v>
          </cell>
          <cell r="H150">
            <v>0</v>
          </cell>
        </row>
        <row r="151">
          <cell r="A151">
            <v>394340</v>
          </cell>
          <cell r="B151" t="str">
            <v xml:space="preserve">SUSPENSE A/C - DEBTORS                                        </v>
          </cell>
          <cell r="C151">
            <v>0</v>
          </cell>
          <cell r="D151">
            <v>0</v>
          </cell>
          <cell r="E151">
            <v>41364</v>
          </cell>
          <cell r="F151" t="str">
            <v>FCBU</v>
          </cell>
          <cell r="H151">
            <v>0</v>
          </cell>
        </row>
        <row r="152">
          <cell r="A152">
            <v>394390</v>
          </cell>
          <cell r="B152" t="str">
            <v xml:space="preserve">PROFIT RECEBLE FROM FCBU                                        </v>
          </cell>
          <cell r="C152">
            <v>0</v>
          </cell>
          <cell r="D152">
            <v>0</v>
          </cell>
          <cell r="E152">
            <v>41364</v>
          </cell>
          <cell r="F152" t="str">
            <v>FCBU</v>
          </cell>
          <cell r="H152">
            <v>0</v>
          </cell>
        </row>
        <row r="153">
          <cell r="A153">
            <v>394400</v>
          </cell>
          <cell r="B153" t="str">
            <v xml:space="preserve">OUTWARD TT SUSPEND                                        </v>
          </cell>
          <cell r="C153">
            <v>0</v>
          </cell>
          <cell r="D153">
            <v>0</v>
          </cell>
          <cell r="E153">
            <v>41364</v>
          </cell>
          <cell r="F153" t="str">
            <v>FCBU</v>
          </cell>
          <cell r="H153">
            <v>0</v>
          </cell>
        </row>
        <row r="154">
          <cell r="A154">
            <v>395700</v>
          </cell>
          <cell r="B154" t="str">
            <v xml:space="preserve">ACCRUE INTEREST RECEIVABLE MML                                        </v>
          </cell>
          <cell r="C154">
            <v>91031.180250000005</v>
          </cell>
          <cell r="D154">
            <v>0</v>
          </cell>
          <cell r="E154">
            <v>41364</v>
          </cell>
          <cell r="F154" t="str">
            <v>FCBU</v>
          </cell>
          <cell r="H154">
            <v>91031.180250000005</v>
          </cell>
        </row>
        <row r="155">
          <cell r="A155">
            <v>395880</v>
          </cell>
          <cell r="B155" t="str">
            <v xml:space="preserve">INT. RECEBLE IMPORT SIGHT BILLS                                        </v>
          </cell>
          <cell r="C155">
            <v>0</v>
          </cell>
          <cell r="D155">
            <v>0</v>
          </cell>
          <cell r="E155">
            <v>41364</v>
          </cell>
          <cell r="F155" t="str">
            <v>FCBU</v>
          </cell>
          <cell r="H155">
            <v>0</v>
          </cell>
        </row>
        <row r="156">
          <cell r="A156">
            <v>395890</v>
          </cell>
          <cell r="B156" t="str">
            <v xml:space="preserve">INT ACCURED PERF USENCE BILLS                                        </v>
          </cell>
          <cell r="C156">
            <v>200942.79824999999</v>
          </cell>
          <cell r="D156">
            <v>0</v>
          </cell>
          <cell r="E156">
            <v>41364</v>
          </cell>
          <cell r="F156" t="str">
            <v>FCBU</v>
          </cell>
          <cell r="H156">
            <v>200942.79824999999</v>
          </cell>
        </row>
        <row r="157">
          <cell r="A157">
            <v>395920</v>
          </cell>
          <cell r="B157" t="str">
            <v xml:space="preserve">INT RECEBLE EXPORT BILLS DISC/NEGO LC                                        </v>
          </cell>
          <cell r="C157">
            <v>8535190.602</v>
          </cell>
          <cell r="D157">
            <v>0</v>
          </cell>
          <cell r="E157">
            <v>41364</v>
          </cell>
          <cell r="F157" t="str">
            <v>FCBU</v>
          </cell>
          <cell r="H157">
            <v>8535190.602</v>
          </cell>
        </row>
        <row r="158">
          <cell r="A158">
            <v>395930</v>
          </cell>
          <cell r="B158" t="str">
            <v xml:space="preserve">INT. RECEBLE EXPORT BILLS DISC/NEGO                                        </v>
          </cell>
          <cell r="C158">
            <v>9154.2284999999993</v>
          </cell>
          <cell r="D158">
            <v>0</v>
          </cell>
          <cell r="E158">
            <v>41364</v>
          </cell>
          <cell r="F158" t="str">
            <v>FCBU</v>
          </cell>
          <cell r="H158">
            <v>9154.2284999999993</v>
          </cell>
        </row>
        <row r="159">
          <cell r="A159">
            <v>395940</v>
          </cell>
          <cell r="B159" t="str">
            <v xml:space="preserve">INT RECEBLE  DOM BILLS DISCED/NEGOTI                                        </v>
          </cell>
          <cell r="C159">
            <v>2659.52025</v>
          </cell>
          <cell r="D159">
            <v>0</v>
          </cell>
          <cell r="E159">
            <v>41364</v>
          </cell>
          <cell r="F159" t="str">
            <v>FCBU</v>
          </cell>
          <cell r="H159">
            <v>2659.52025</v>
          </cell>
        </row>
        <row r="160">
          <cell r="A160">
            <v>395960</v>
          </cell>
          <cell r="B160" t="str">
            <v xml:space="preserve">INT. RECEBLE OVERDRAFT                                        </v>
          </cell>
          <cell r="C160">
            <v>115966054.02674745</v>
          </cell>
          <cell r="D160">
            <v>0</v>
          </cell>
          <cell r="E160">
            <v>41364</v>
          </cell>
          <cell r="F160" t="str">
            <v>FCBU</v>
          </cell>
          <cell r="H160">
            <v>115966054.02674745</v>
          </cell>
        </row>
        <row r="161">
          <cell r="A161">
            <v>395961</v>
          </cell>
          <cell r="B161" t="str">
            <v xml:space="preserve">SUS INT. RECEBLE OVERDRAFT                                        </v>
          </cell>
          <cell r="C161">
            <v>0</v>
          </cell>
          <cell r="D161">
            <v>0</v>
          </cell>
          <cell r="E161">
            <v>41364</v>
          </cell>
          <cell r="F161" t="str">
            <v>FCBU</v>
          </cell>
          <cell r="H161">
            <v>0</v>
          </cell>
        </row>
        <row r="162">
          <cell r="A162">
            <v>395970</v>
          </cell>
          <cell r="B162" t="str">
            <v xml:space="preserve">INT. RECEBLE TRUST RICIPT LOAN                                        </v>
          </cell>
          <cell r="C162">
            <v>22810984.199250001</v>
          </cell>
          <cell r="D162">
            <v>0</v>
          </cell>
          <cell r="E162">
            <v>41364</v>
          </cell>
          <cell r="F162" t="str">
            <v>FCBU</v>
          </cell>
          <cell r="H162">
            <v>22810984.199250001</v>
          </cell>
        </row>
        <row r="163">
          <cell r="A163">
            <v>396030</v>
          </cell>
          <cell r="B163" t="str">
            <v xml:space="preserve">INT RECEBLE ST LOANS -IMPORT                                        </v>
          </cell>
          <cell r="C163">
            <v>566701665.71625006</v>
          </cell>
          <cell r="D163">
            <v>0</v>
          </cell>
          <cell r="E163">
            <v>41364</v>
          </cell>
          <cell r="F163" t="str">
            <v>FCBU</v>
          </cell>
          <cell r="H163">
            <v>566701665.71625006</v>
          </cell>
        </row>
        <row r="164">
          <cell r="A164">
            <v>396040</v>
          </cell>
          <cell r="B164" t="str">
            <v xml:space="preserve">INT RECEBLE ST BLOCK LOANS                                        </v>
          </cell>
          <cell r="C164">
            <v>0</v>
          </cell>
          <cell r="D164">
            <v>0</v>
          </cell>
          <cell r="E164">
            <v>41364</v>
          </cell>
          <cell r="F164" t="str">
            <v>FCBU</v>
          </cell>
          <cell r="H164">
            <v>0</v>
          </cell>
        </row>
        <row r="165">
          <cell r="A165">
            <v>396050</v>
          </cell>
          <cell r="B165" t="str">
            <v xml:space="preserve">INT. RECEBLE MEDIUM TERM BLOCKLOANS                                        </v>
          </cell>
          <cell r="C165">
            <v>881922054.15149999</v>
          </cell>
          <cell r="D165">
            <v>0</v>
          </cell>
          <cell r="E165">
            <v>41364</v>
          </cell>
          <cell r="F165" t="str">
            <v>FCBU</v>
          </cell>
          <cell r="H165">
            <v>881922054.15149999</v>
          </cell>
        </row>
        <row r="166">
          <cell r="A166">
            <v>396060</v>
          </cell>
          <cell r="B166" t="str">
            <v xml:space="preserve">INT. RECEBLE LONG TERM BLOCKLOANS                                        </v>
          </cell>
          <cell r="C166">
            <v>74619874.328250006</v>
          </cell>
          <cell r="D166">
            <v>0</v>
          </cell>
          <cell r="E166">
            <v>41364</v>
          </cell>
          <cell r="F166" t="str">
            <v>FCBU</v>
          </cell>
          <cell r="H166">
            <v>74619874.328250006</v>
          </cell>
        </row>
        <row r="167">
          <cell r="A167">
            <v>396250</v>
          </cell>
          <cell r="B167" t="str">
            <v xml:space="preserve">ACCRUE INTEREST RECEI. SYNDICATE LOAN                                        </v>
          </cell>
          <cell r="C167">
            <v>74311940.69174999</v>
          </cell>
          <cell r="D167">
            <v>0</v>
          </cell>
          <cell r="E167">
            <v>41364</v>
          </cell>
          <cell r="F167" t="str">
            <v>FCBU</v>
          </cell>
          <cell r="H167">
            <v>74311940.69174999</v>
          </cell>
        </row>
        <row r="168">
          <cell r="A168">
            <v>396290</v>
          </cell>
          <cell r="B168" t="str">
            <v xml:space="preserve">INTEREST ACCRUED FOR SLDB FC                                        </v>
          </cell>
          <cell r="C168">
            <v>66383701.565250002</v>
          </cell>
          <cell r="D168">
            <v>0</v>
          </cell>
          <cell r="E168">
            <v>41364</v>
          </cell>
          <cell r="F168" t="str">
            <v>FCBU</v>
          </cell>
          <cell r="H168">
            <v>66383701.565250002</v>
          </cell>
        </row>
        <row r="169">
          <cell r="A169">
            <v>396500</v>
          </cell>
          <cell r="B169" t="str">
            <v xml:space="preserve">ACCRUED OTHER INCOME                                        </v>
          </cell>
          <cell r="C169">
            <v>0</v>
          </cell>
          <cell r="D169">
            <v>0</v>
          </cell>
          <cell r="E169">
            <v>41364</v>
          </cell>
          <cell r="F169" t="str">
            <v>FCBU</v>
          </cell>
          <cell r="H169">
            <v>0</v>
          </cell>
        </row>
        <row r="170">
          <cell r="A170">
            <v>398000</v>
          </cell>
          <cell r="B170" t="str">
            <v xml:space="preserve">POSITION ACCOUNT                                        </v>
          </cell>
          <cell r="C170">
            <v>-7610.4481437000004</v>
          </cell>
          <cell r="D170">
            <v>0</v>
          </cell>
          <cell r="E170">
            <v>41364</v>
          </cell>
          <cell r="F170" t="str">
            <v>FCBU</v>
          </cell>
          <cell r="H170">
            <v>-7610.4481437000004</v>
          </cell>
        </row>
        <row r="171">
          <cell r="F171" t="str">
            <v>FCBU</v>
          </cell>
        </row>
        <row r="172">
          <cell r="A172" t="str">
            <v>Asset Sub Total</v>
          </cell>
          <cell r="C172">
            <v>100618745472.75761</v>
          </cell>
          <cell r="D172">
            <v>0</v>
          </cell>
          <cell r="F172" t="str">
            <v>FCBU</v>
          </cell>
          <cell r="H172">
            <v>100618745472.75761</v>
          </cell>
        </row>
        <row r="173">
          <cell r="F173" t="str">
            <v>FCBU</v>
          </cell>
        </row>
        <row r="174">
          <cell r="A174">
            <v>401500</v>
          </cell>
          <cell r="B174" t="str">
            <v xml:space="preserve">CA DEMAND DEPOSITS - FC                                        </v>
          </cell>
          <cell r="C174">
            <v>0</v>
          </cell>
          <cell r="D174">
            <v>-177527825.90973368</v>
          </cell>
          <cell r="E174">
            <v>41364</v>
          </cell>
          <cell r="F174" t="str">
            <v>FCBU</v>
          </cell>
          <cell r="H174">
            <v>-177527825.90973368</v>
          </cell>
        </row>
        <row r="175">
          <cell r="A175">
            <v>402100</v>
          </cell>
          <cell r="B175" t="str">
            <v xml:space="preserve">DEMAND DEPOSITS - VOSTRO - FC                                        </v>
          </cell>
          <cell r="C175">
            <v>0</v>
          </cell>
          <cell r="D175">
            <v>0</v>
          </cell>
          <cell r="E175">
            <v>41364</v>
          </cell>
          <cell r="F175" t="str">
            <v>FCBU</v>
          </cell>
          <cell r="H175">
            <v>0</v>
          </cell>
        </row>
        <row r="176">
          <cell r="A176">
            <v>406500</v>
          </cell>
          <cell r="B176" t="str">
            <v xml:space="preserve">SAVINGS F.C                                        </v>
          </cell>
          <cell r="C176">
            <v>0</v>
          </cell>
          <cell r="D176">
            <v>-214280882.97609535</v>
          </cell>
          <cell r="E176">
            <v>41364</v>
          </cell>
          <cell r="F176" t="str">
            <v>FCBU</v>
          </cell>
          <cell r="H176">
            <v>-214280882.97609535</v>
          </cell>
        </row>
        <row r="177">
          <cell r="A177">
            <v>415000</v>
          </cell>
          <cell r="B177" t="str">
            <v xml:space="preserve">7 DAY CALL DEPOSIT - LOCAL                                        </v>
          </cell>
          <cell r="C177">
            <v>0</v>
          </cell>
          <cell r="D177">
            <v>-8470274.3321410492</v>
          </cell>
          <cell r="E177">
            <v>41364</v>
          </cell>
          <cell r="F177" t="str">
            <v>FCBU</v>
          </cell>
          <cell r="H177">
            <v>-8470274.3321410492</v>
          </cell>
        </row>
        <row r="178">
          <cell r="A178">
            <v>415500</v>
          </cell>
          <cell r="B178" t="str">
            <v xml:space="preserve">TIME DEPOSITS - LOCAL                                        </v>
          </cell>
          <cell r="C178">
            <v>0</v>
          </cell>
          <cell r="D178">
            <v>-4133280882.7147503</v>
          </cell>
          <cell r="E178">
            <v>41364</v>
          </cell>
          <cell r="F178" t="str">
            <v>FCBU</v>
          </cell>
          <cell r="H178">
            <v>-4133280882.7147503</v>
          </cell>
        </row>
        <row r="179">
          <cell r="A179">
            <v>419000</v>
          </cell>
          <cell r="B179" t="str">
            <v xml:space="preserve">TIME DEPOSITS - FC                                        </v>
          </cell>
          <cell r="C179">
            <v>0</v>
          </cell>
          <cell r="D179">
            <v>-125008850.42309985</v>
          </cell>
          <cell r="E179">
            <v>41364</v>
          </cell>
          <cell r="F179" t="str">
            <v>FCBU</v>
          </cell>
          <cell r="H179">
            <v>-125008850.42309985</v>
          </cell>
        </row>
        <row r="180">
          <cell r="A180">
            <v>419001</v>
          </cell>
          <cell r="B180" t="str">
            <v xml:space="preserve">SUS TIME DEPOSITS-FC                                        </v>
          </cell>
          <cell r="C180">
            <v>0</v>
          </cell>
          <cell r="D180">
            <v>0</v>
          </cell>
          <cell r="E180">
            <v>41364</v>
          </cell>
          <cell r="F180" t="str">
            <v>FCBU</v>
          </cell>
          <cell r="H180">
            <v>0</v>
          </cell>
        </row>
        <row r="181">
          <cell r="A181">
            <v>436000</v>
          </cell>
          <cell r="B181" t="str">
            <v xml:space="preserve">MARGIN A/C - LC BILLS AWITING RETIREMENT                                       </v>
          </cell>
          <cell r="C181">
            <v>0</v>
          </cell>
          <cell r="D181">
            <v>0</v>
          </cell>
          <cell r="E181">
            <v>41364</v>
          </cell>
          <cell r="F181" t="str">
            <v>FCBU</v>
          </cell>
          <cell r="H181">
            <v>0</v>
          </cell>
        </row>
        <row r="182">
          <cell r="A182">
            <v>436010</v>
          </cell>
          <cell r="B182" t="str">
            <v xml:space="preserve">MARGIN A/C - LETTER OF CREDIT                                        </v>
          </cell>
          <cell r="C182">
            <v>0</v>
          </cell>
          <cell r="D182">
            <v>0</v>
          </cell>
          <cell r="E182">
            <v>41364</v>
          </cell>
          <cell r="F182" t="str">
            <v>FCBU</v>
          </cell>
          <cell r="H182">
            <v>0</v>
          </cell>
        </row>
        <row r="183">
          <cell r="A183">
            <v>436020</v>
          </cell>
          <cell r="B183" t="str">
            <v xml:space="preserve">MARGIN A/C - SHIPPING GUARANTEE ISSUED                                        </v>
          </cell>
          <cell r="C183">
            <v>0</v>
          </cell>
          <cell r="D183">
            <v>0</v>
          </cell>
          <cell r="E183">
            <v>41364</v>
          </cell>
          <cell r="F183" t="str">
            <v>FCBU</v>
          </cell>
          <cell r="H183">
            <v>0</v>
          </cell>
        </row>
        <row r="184">
          <cell r="A184">
            <v>436090</v>
          </cell>
          <cell r="B184" t="str">
            <v xml:space="preserve">MARGIN A/C - LOANS                                        </v>
          </cell>
          <cell r="C184">
            <v>0</v>
          </cell>
          <cell r="D184">
            <v>0</v>
          </cell>
          <cell r="E184">
            <v>41364</v>
          </cell>
          <cell r="F184" t="str">
            <v>FCBU</v>
          </cell>
          <cell r="H184">
            <v>0</v>
          </cell>
        </row>
        <row r="185">
          <cell r="A185">
            <v>436110</v>
          </cell>
          <cell r="B185" t="str">
            <v xml:space="preserve">MARGIN A/C - MISCE. GUARANTEE ISSUED                                        </v>
          </cell>
          <cell r="C185">
            <v>0</v>
          </cell>
          <cell r="D185">
            <v>0</v>
          </cell>
          <cell r="E185">
            <v>41364</v>
          </cell>
          <cell r="F185" t="str">
            <v>FCBU</v>
          </cell>
          <cell r="H185">
            <v>0</v>
          </cell>
        </row>
        <row r="186">
          <cell r="A186">
            <v>436160</v>
          </cell>
          <cell r="B186" t="str">
            <v xml:space="preserve">MARGIN A/C - MISCELLANIOUS                                        </v>
          </cell>
          <cell r="C186">
            <v>0</v>
          </cell>
          <cell r="D186">
            <v>-6985969.9605</v>
          </cell>
          <cell r="E186">
            <v>41364</v>
          </cell>
          <cell r="F186" t="str">
            <v>FCBU</v>
          </cell>
          <cell r="H186">
            <v>-6985969.9605</v>
          </cell>
        </row>
        <row r="187">
          <cell r="A187">
            <v>436200</v>
          </cell>
          <cell r="B187" t="str">
            <v xml:space="preserve">MARGIN AC CORPORATE II RECOVERIES                                        </v>
          </cell>
          <cell r="C187">
            <v>0</v>
          </cell>
          <cell r="D187">
            <v>0</v>
          </cell>
          <cell r="E187">
            <v>41364</v>
          </cell>
          <cell r="F187" t="str">
            <v>FCBU</v>
          </cell>
          <cell r="H187">
            <v>0</v>
          </cell>
        </row>
        <row r="188">
          <cell r="A188">
            <v>448400</v>
          </cell>
          <cell r="B188" t="str">
            <v xml:space="preserve">MONEY MARKET BORROWINGS                                        </v>
          </cell>
          <cell r="C188">
            <v>0</v>
          </cell>
          <cell r="D188">
            <v>-86191690440</v>
          </cell>
          <cell r="E188">
            <v>41364</v>
          </cell>
          <cell r="F188" t="str">
            <v>FCBU</v>
          </cell>
          <cell r="H188">
            <v>-86191690440</v>
          </cell>
        </row>
        <row r="189">
          <cell r="A189">
            <v>465010</v>
          </cell>
          <cell r="B189" t="str">
            <v xml:space="preserve">SUSP A/C - PROVISIONS FOR BAD &amp; DOUBTFUL DEBT                                  </v>
          </cell>
          <cell r="C189">
            <v>0</v>
          </cell>
          <cell r="D189">
            <v>-2077817932.5449998</v>
          </cell>
          <cell r="E189">
            <v>41364</v>
          </cell>
          <cell r="F189" t="str">
            <v>FCBU</v>
          </cell>
          <cell r="H189">
            <v>-2077817932.5449998</v>
          </cell>
        </row>
        <row r="190">
          <cell r="A190">
            <v>467030</v>
          </cell>
          <cell r="B190" t="str">
            <v xml:space="preserve">DRAFT PAYABLE                                        </v>
          </cell>
          <cell r="C190">
            <v>0</v>
          </cell>
          <cell r="D190">
            <v>0</v>
          </cell>
          <cell r="E190">
            <v>41364</v>
          </cell>
          <cell r="F190" t="str">
            <v>FCBU</v>
          </cell>
          <cell r="H190">
            <v>0</v>
          </cell>
        </row>
        <row r="191">
          <cell r="A191">
            <v>467070</v>
          </cell>
          <cell r="B191" t="str">
            <v xml:space="preserve">UNCLAIMED BALANCE                                        </v>
          </cell>
          <cell r="C191">
            <v>0</v>
          </cell>
          <cell r="D191">
            <v>-10831534.782000002</v>
          </cell>
          <cell r="E191">
            <v>41364</v>
          </cell>
          <cell r="F191" t="str">
            <v>FCBU</v>
          </cell>
          <cell r="H191">
            <v>-10831534.782000002</v>
          </cell>
        </row>
        <row r="192">
          <cell r="A192">
            <v>467120</v>
          </cell>
          <cell r="B192" t="str">
            <v xml:space="preserve">SUSPENSE A/C - CREDITORS                                        </v>
          </cell>
          <cell r="C192">
            <v>0</v>
          </cell>
          <cell r="D192">
            <v>-14299.518749999999</v>
          </cell>
          <cell r="E192">
            <v>41364</v>
          </cell>
          <cell r="F192" t="str">
            <v>FCBU</v>
          </cell>
          <cell r="H192">
            <v>-14299.518749999999</v>
          </cell>
        </row>
        <row r="193">
          <cell r="A193">
            <v>474800</v>
          </cell>
          <cell r="B193" t="str">
            <v xml:space="preserve">INCOME TAX PAYABLES                                        </v>
          </cell>
          <cell r="C193">
            <v>0</v>
          </cell>
          <cell r="D193">
            <v>-470235058.93200004</v>
          </cell>
          <cell r="E193">
            <v>41364</v>
          </cell>
          <cell r="F193" t="str">
            <v>FCBU</v>
          </cell>
          <cell r="H193">
            <v>-470235058.93200004</v>
          </cell>
        </row>
        <row r="194">
          <cell r="A194">
            <v>485010</v>
          </cell>
          <cell r="B194" t="str">
            <v xml:space="preserve">SIBS BR.  301 GALKIRIYAGAMA                                        </v>
          </cell>
          <cell r="C194">
            <v>0</v>
          </cell>
          <cell r="D194">
            <v>0</v>
          </cell>
          <cell r="E194">
            <v>41364</v>
          </cell>
          <cell r="F194" t="str">
            <v>FCBU</v>
          </cell>
          <cell r="H194">
            <v>0</v>
          </cell>
        </row>
        <row r="195">
          <cell r="A195">
            <v>489990</v>
          </cell>
          <cell r="B195" t="str">
            <v xml:space="preserve">PROFIT PAYABLE TO HEAD OFFICE                                        </v>
          </cell>
          <cell r="C195">
            <v>0</v>
          </cell>
          <cell r="D195">
            <v>-4495813087.5547504</v>
          </cell>
          <cell r="E195">
            <v>41364</v>
          </cell>
          <cell r="F195" t="str">
            <v>FCBU</v>
          </cell>
          <cell r="H195">
            <v>-4495813087.5547504</v>
          </cell>
        </row>
        <row r="196">
          <cell r="A196">
            <v>490010</v>
          </cell>
          <cell r="B196" t="str">
            <v xml:space="preserve">ACCRUED INTEREST EXPENSES - SAVINGS                                        </v>
          </cell>
          <cell r="C196">
            <v>0</v>
          </cell>
          <cell r="D196">
            <v>-1056882.2236560751</v>
          </cell>
          <cell r="E196">
            <v>41364</v>
          </cell>
          <cell r="F196" t="str">
            <v>FCBU</v>
          </cell>
          <cell r="H196">
            <v>-1056882.2236560751</v>
          </cell>
        </row>
        <row r="197">
          <cell r="A197">
            <v>490020</v>
          </cell>
          <cell r="B197" t="str">
            <v xml:space="preserve">ACCRUED INT EXPENSES - TIME DEPOSITS                                        </v>
          </cell>
          <cell r="C197">
            <v>0</v>
          </cell>
          <cell r="D197">
            <v>-54056059.905134246</v>
          </cell>
          <cell r="E197">
            <v>41364</v>
          </cell>
          <cell r="F197" t="str">
            <v>FCBU</v>
          </cell>
          <cell r="H197">
            <v>-54056059.905134246</v>
          </cell>
        </row>
        <row r="198">
          <cell r="A198">
            <v>490220</v>
          </cell>
          <cell r="B198" t="str">
            <v xml:space="preserve">ACCRUE INTEREST PAYABLE MMB                                        </v>
          </cell>
          <cell r="C198">
            <v>0</v>
          </cell>
          <cell r="D198">
            <v>-464003248.76099998</v>
          </cell>
          <cell r="E198">
            <v>41364</v>
          </cell>
          <cell r="F198" t="str">
            <v>FCBU</v>
          </cell>
          <cell r="H198">
            <v>-464003248.76099998</v>
          </cell>
        </row>
        <row r="199">
          <cell r="A199">
            <v>490230</v>
          </cell>
          <cell r="B199" t="str">
            <v xml:space="preserve">ACCRUE INT OTHER BORROW FROM BANK ABROAD                                        </v>
          </cell>
          <cell r="C199">
            <v>0</v>
          </cell>
          <cell r="D199">
            <v>0</v>
          </cell>
          <cell r="E199">
            <v>41364</v>
          </cell>
          <cell r="F199" t="str">
            <v>FCBU</v>
          </cell>
          <cell r="H199">
            <v>0</v>
          </cell>
        </row>
        <row r="200">
          <cell r="A200">
            <v>491000</v>
          </cell>
          <cell r="B200" t="str">
            <v xml:space="preserve">ACCRUED OTHER EXPENSES                                        </v>
          </cell>
          <cell r="C200">
            <v>0</v>
          </cell>
          <cell r="D200">
            <v>-1769208.75</v>
          </cell>
          <cell r="E200">
            <v>41364</v>
          </cell>
          <cell r="F200" t="str">
            <v>FCBU</v>
          </cell>
          <cell r="H200">
            <v>-1769208.75</v>
          </cell>
        </row>
        <row r="201">
          <cell r="A201">
            <v>491500</v>
          </cell>
          <cell r="B201" t="str">
            <v xml:space="preserve">INT. IN SUS. NPL                                        </v>
          </cell>
          <cell r="C201">
            <v>0</v>
          </cell>
          <cell r="D201">
            <v>-1666283342.7633812</v>
          </cell>
          <cell r="E201">
            <v>41364</v>
          </cell>
          <cell r="F201" t="str">
            <v>FCBU</v>
          </cell>
          <cell r="H201">
            <v>-1666283342.7633812</v>
          </cell>
        </row>
        <row r="202">
          <cell r="A202">
            <v>491520</v>
          </cell>
          <cell r="B202" t="str">
            <v xml:space="preserve">INT. IN SUS. - RESCHEDULED LOANS                                        </v>
          </cell>
          <cell r="C202">
            <v>0</v>
          </cell>
          <cell r="D202">
            <v>0</v>
          </cell>
          <cell r="E202">
            <v>41364</v>
          </cell>
          <cell r="F202" t="str">
            <v>FCBU</v>
          </cell>
          <cell r="H202">
            <v>0</v>
          </cell>
        </row>
        <row r="203">
          <cell r="A203">
            <v>491780</v>
          </cell>
          <cell r="B203" t="str">
            <v xml:space="preserve">SUSPENSE A/CCORES. BANKERS CHGS RECD                                        </v>
          </cell>
          <cell r="C203">
            <v>0</v>
          </cell>
          <cell r="D203">
            <v>0</v>
          </cell>
          <cell r="E203">
            <v>41364</v>
          </cell>
          <cell r="F203" t="str">
            <v>FCBU</v>
          </cell>
          <cell r="H203">
            <v>0</v>
          </cell>
        </row>
        <row r="204">
          <cell r="A204">
            <v>491810</v>
          </cell>
          <cell r="B204" t="str">
            <v xml:space="preserve">UNEARNED INT.EX BILLS DISC/NEGO LC                                        </v>
          </cell>
          <cell r="C204">
            <v>0</v>
          </cell>
          <cell r="D204">
            <v>-1511955.6517500002</v>
          </cell>
          <cell r="E204">
            <v>41364</v>
          </cell>
          <cell r="F204" t="str">
            <v>FCBU</v>
          </cell>
          <cell r="H204">
            <v>-1511955.6517500002</v>
          </cell>
        </row>
        <row r="205">
          <cell r="A205">
            <v>491820</v>
          </cell>
          <cell r="B205" t="str">
            <v xml:space="preserve">UNEARNED INT EX.BILLS DISC/NEGO                                        </v>
          </cell>
          <cell r="C205">
            <v>0</v>
          </cell>
          <cell r="D205">
            <v>-622904.79225000006</v>
          </cell>
          <cell r="E205">
            <v>41364</v>
          </cell>
          <cell r="F205" t="str">
            <v>FCBU</v>
          </cell>
          <cell r="H205">
            <v>-622904.79225000006</v>
          </cell>
        </row>
        <row r="206">
          <cell r="A206">
            <v>491830</v>
          </cell>
          <cell r="B206" t="str">
            <v xml:space="preserve">UNEARNED INT DOM.BILLS DISC/NEGO                                        </v>
          </cell>
          <cell r="C206">
            <v>0</v>
          </cell>
          <cell r="D206">
            <v>-59661.016499999998</v>
          </cell>
          <cell r="E206">
            <v>41364</v>
          </cell>
          <cell r="F206" t="str">
            <v>FCBU</v>
          </cell>
          <cell r="H206">
            <v>-59661.016499999998</v>
          </cell>
        </row>
        <row r="207">
          <cell r="A207">
            <v>492150</v>
          </cell>
          <cell r="B207" t="str">
            <v xml:space="preserve">SUSPENSE A/C - AMOUNT PAYBLE TO CRIBS                                        </v>
          </cell>
          <cell r="C207">
            <v>0</v>
          </cell>
          <cell r="D207">
            <v>237.16274999999999</v>
          </cell>
          <cell r="E207">
            <v>41364</v>
          </cell>
          <cell r="F207" t="str">
            <v>FCBU</v>
          </cell>
          <cell r="H207">
            <v>237.16274999999999</v>
          </cell>
        </row>
        <row r="208">
          <cell r="A208">
            <v>492390</v>
          </cell>
          <cell r="B208" t="str">
            <v xml:space="preserve">TRAVELLERS CHEQUES ISSUED                                        </v>
          </cell>
          <cell r="C208">
            <v>0</v>
          </cell>
          <cell r="D208">
            <v>0</v>
          </cell>
          <cell r="E208">
            <v>41364</v>
          </cell>
          <cell r="F208" t="str">
            <v>FCBU</v>
          </cell>
          <cell r="H208">
            <v>0</v>
          </cell>
        </row>
        <row r="209">
          <cell r="A209">
            <v>492720</v>
          </cell>
          <cell r="B209" t="str">
            <v xml:space="preserve">SUSPENSE A/C - ADVANCE PAYMENT (LOANS)                                        </v>
          </cell>
          <cell r="C209">
            <v>0</v>
          </cell>
          <cell r="D209">
            <v>0</v>
          </cell>
          <cell r="E209">
            <v>41364</v>
          </cell>
          <cell r="F209" t="str">
            <v>FCBU</v>
          </cell>
          <cell r="H209">
            <v>0</v>
          </cell>
        </row>
        <row r="210">
          <cell r="A210">
            <v>492740</v>
          </cell>
          <cell r="B210" t="str">
            <v xml:space="preserve">SUSP A/C - STAMP DUTY PAYABLE                                        </v>
          </cell>
          <cell r="C210">
            <v>0</v>
          </cell>
          <cell r="D210">
            <v>-22257.787499999999</v>
          </cell>
          <cell r="E210">
            <v>41364</v>
          </cell>
          <cell r="F210" t="str">
            <v>FCBU</v>
          </cell>
          <cell r="H210">
            <v>-22257.787499999999</v>
          </cell>
        </row>
        <row r="211">
          <cell r="A211">
            <v>492810</v>
          </cell>
          <cell r="B211" t="str">
            <v xml:space="preserve">GOVT STAMP DUTY A/C TRUST RECEIPTS                                        </v>
          </cell>
          <cell r="C211">
            <v>0</v>
          </cell>
          <cell r="D211">
            <v>0</v>
          </cell>
          <cell r="E211">
            <v>41364</v>
          </cell>
          <cell r="F211" t="str">
            <v>FCBU</v>
          </cell>
          <cell r="H211">
            <v>0</v>
          </cell>
        </row>
        <row r="212">
          <cell r="A212">
            <v>492820</v>
          </cell>
          <cell r="B212" t="str">
            <v xml:space="preserve">GOVT STAMP DUTY A/C PROMISSORY NOTES                                        </v>
          </cell>
          <cell r="C212">
            <v>0</v>
          </cell>
          <cell r="D212">
            <v>-1211051.925</v>
          </cell>
          <cell r="E212">
            <v>41364</v>
          </cell>
          <cell r="F212" t="str">
            <v>FCBU</v>
          </cell>
          <cell r="H212">
            <v>-1211051.925</v>
          </cell>
        </row>
        <row r="213">
          <cell r="A213">
            <v>495010</v>
          </cell>
          <cell r="B213" t="str">
            <v xml:space="preserve">GENERAL REMITTANCE INTERMEDIATE A/C                                        </v>
          </cell>
          <cell r="C213">
            <v>0</v>
          </cell>
          <cell r="D213">
            <v>0</v>
          </cell>
          <cell r="E213">
            <v>41364</v>
          </cell>
          <cell r="F213" t="str">
            <v>FCBU</v>
          </cell>
          <cell r="H213">
            <v>0</v>
          </cell>
        </row>
        <row r="214">
          <cell r="A214">
            <v>495030</v>
          </cell>
          <cell r="B214" t="str">
            <v xml:space="preserve">TRADE FINANCE INTERMEDIATE A/C                                        </v>
          </cell>
          <cell r="C214">
            <v>0</v>
          </cell>
          <cell r="D214">
            <v>0</v>
          </cell>
          <cell r="E214">
            <v>41364</v>
          </cell>
          <cell r="F214" t="str">
            <v>FCBU</v>
          </cell>
          <cell r="H214">
            <v>0</v>
          </cell>
        </row>
        <row r="215">
          <cell r="A215">
            <v>495040</v>
          </cell>
          <cell r="B215" t="str">
            <v xml:space="preserve">WITHDRAWABLE INTEREST                                        </v>
          </cell>
          <cell r="C215">
            <v>0</v>
          </cell>
          <cell r="D215">
            <v>0</v>
          </cell>
          <cell r="E215">
            <v>41364</v>
          </cell>
          <cell r="F215" t="str">
            <v>FCBU</v>
          </cell>
          <cell r="H215">
            <v>0</v>
          </cell>
        </row>
        <row r="216">
          <cell r="A216">
            <v>495060</v>
          </cell>
          <cell r="B216" t="str">
            <v xml:space="preserve">LOAN INTERMEDIATE                                        </v>
          </cell>
          <cell r="C216">
            <v>0</v>
          </cell>
          <cell r="D216">
            <v>0</v>
          </cell>
          <cell r="E216">
            <v>41364</v>
          </cell>
          <cell r="F216" t="str">
            <v>FCBU</v>
          </cell>
          <cell r="H216">
            <v>0</v>
          </cell>
        </row>
        <row r="217">
          <cell r="A217">
            <v>495080</v>
          </cell>
          <cell r="B217" t="str">
            <v xml:space="preserve">DEPOSIT INTERMEDIATE                                        </v>
          </cell>
          <cell r="C217">
            <v>0</v>
          </cell>
          <cell r="D217">
            <v>0</v>
          </cell>
          <cell r="E217">
            <v>41364</v>
          </cell>
          <cell r="F217" t="str">
            <v>FCBU</v>
          </cell>
          <cell r="H217">
            <v>0</v>
          </cell>
        </row>
        <row r="218">
          <cell r="A218">
            <v>495090</v>
          </cell>
          <cell r="B218" t="str">
            <v xml:space="preserve">GL INTERMEDIATE                                        </v>
          </cell>
          <cell r="C218">
            <v>0</v>
          </cell>
          <cell r="D218">
            <v>0</v>
          </cell>
          <cell r="E218">
            <v>41364</v>
          </cell>
          <cell r="F218" t="str">
            <v>FCBU</v>
          </cell>
          <cell r="H218">
            <v>0</v>
          </cell>
        </row>
        <row r="219">
          <cell r="A219">
            <v>495230</v>
          </cell>
          <cell r="B219" t="str">
            <v xml:space="preserve">MANY TO MANY TRANSACTION INTERMEDIATE                                        </v>
          </cell>
          <cell r="C219">
            <v>0</v>
          </cell>
          <cell r="D219">
            <v>0</v>
          </cell>
          <cell r="E219">
            <v>41364</v>
          </cell>
          <cell r="F219" t="str">
            <v>FCBU</v>
          </cell>
          <cell r="H219">
            <v>0</v>
          </cell>
        </row>
        <row r="220">
          <cell r="A220">
            <v>495260</v>
          </cell>
          <cell r="B220" t="str">
            <v xml:space="preserve">TRADE FINANCE INTERMEDIATE A/C - CASA                                        </v>
          </cell>
          <cell r="C220">
            <v>0</v>
          </cell>
          <cell r="D220">
            <v>0</v>
          </cell>
          <cell r="E220">
            <v>41364</v>
          </cell>
          <cell r="F220" t="str">
            <v>FCBU</v>
          </cell>
          <cell r="H220">
            <v>0</v>
          </cell>
        </row>
        <row r="221">
          <cell r="A221">
            <v>495270</v>
          </cell>
          <cell r="B221" t="str">
            <v xml:space="preserve">TRADE FINANCE INTERMEDIATE A/C ADVANCES                                        </v>
          </cell>
          <cell r="C221">
            <v>0</v>
          </cell>
          <cell r="D221">
            <v>0</v>
          </cell>
          <cell r="E221">
            <v>41364</v>
          </cell>
          <cell r="F221" t="str">
            <v>FCBU</v>
          </cell>
          <cell r="H221">
            <v>0</v>
          </cell>
        </row>
        <row r="222">
          <cell r="A222">
            <v>496010</v>
          </cell>
          <cell r="B222" t="str">
            <v xml:space="preserve">FORCED BALANCE                                        </v>
          </cell>
          <cell r="C222">
            <v>0</v>
          </cell>
          <cell r="D222">
            <v>0</v>
          </cell>
          <cell r="E222">
            <v>41364</v>
          </cell>
          <cell r="F222" t="str">
            <v>FCBU</v>
          </cell>
          <cell r="H222">
            <v>0</v>
          </cell>
        </row>
        <row r="223">
          <cell r="A223">
            <v>496020</v>
          </cell>
          <cell r="B223" t="str">
            <v xml:space="preserve">INVALID POSTINGS                                        </v>
          </cell>
          <cell r="C223">
            <v>0</v>
          </cell>
          <cell r="D223">
            <v>0</v>
          </cell>
          <cell r="E223">
            <v>41364</v>
          </cell>
          <cell r="F223" t="str">
            <v>FCBU</v>
          </cell>
          <cell r="H223">
            <v>0</v>
          </cell>
        </row>
        <row r="224">
          <cell r="A224">
            <v>496580</v>
          </cell>
          <cell r="B224" t="str">
            <v xml:space="preserve">USD CHEQ/DRAFTS CLG SETT- SAMPATH BANK                                        </v>
          </cell>
          <cell r="C224">
            <v>0</v>
          </cell>
          <cell r="D224">
            <v>0</v>
          </cell>
          <cell r="E224">
            <v>41364</v>
          </cell>
          <cell r="F224" t="str">
            <v>FCBU</v>
          </cell>
          <cell r="H224">
            <v>0</v>
          </cell>
        </row>
        <row r="225">
          <cell r="A225">
            <v>496590</v>
          </cell>
          <cell r="B225" t="str">
            <v xml:space="preserve">USD  CHEQUES/DRAFTS LOC CLG A/C-FCBU                                        </v>
          </cell>
          <cell r="C225">
            <v>0</v>
          </cell>
          <cell r="D225">
            <v>-295299.33</v>
          </cell>
          <cell r="E225">
            <v>41364</v>
          </cell>
          <cell r="F225" t="str">
            <v>FCBU</v>
          </cell>
          <cell r="H225">
            <v>-295299.33</v>
          </cell>
        </row>
        <row r="226">
          <cell r="A226">
            <v>496600</v>
          </cell>
          <cell r="B226" t="str">
            <v xml:space="preserve">USD .CHEQUES &amp; DRAFTS LOCAL CLG.A/C                                        </v>
          </cell>
          <cell r="C226">
            <v>0</v>
          </cell>
          <cell r="D226">
            <v>0</v>
          </cell>
          <cell r="E226">
            <v>41364</v>
          </cell>
          <cell r="F226" t="str">
            <v>FCBU</v>
          </cell>
          <cell r="H226">
            <v>0</v>
          </cell>
        </row>
        <row r="227">
          <cell r="F227" t="str">
            <v>FCBU</v>
          </cell>
        </row>
        <row r="228">
          <cell r="A228" t="str">
            <v>Liability Sub Total</v>
          </cell>
          <cell r="C228">
            <v>0</v>
          </cell>
          <cell r="D228">
            <v>-100102848675.39224</v>
          </cell>
          <cell r="F228" t="str">
            <v>FCBU</v>
          </cell>
          <cell r="H228">
            <v>-100102848675.39226</v>
          </cell>
        </row>
        <row r="229">
          <cell r="F229" t="str">
            <v>FCBU</v>
          </cell>
        </row>
        <row r="230">
          <cell r="A230">
            <v>580000</v>
          </cell>
          <cell r="B230" t="str">
            <v xml:space="preserve">P &amp; L ACCOUNT C/F                                        </v>
          </cell>
          <cell r="C230">
            <v>0</v>
          </cell>
          <cell r="D230">
            <v>0</v>
          </cell>
          <cell r="E230">
            <v>41364</v>
          </cell>
          <cell r="F230" t="str">
            <v>FCBU</v>
          </cell>
          <cell r="H230">
            <v>0</v>
          </cell>
        </row>
        <row r="231">
          <cell r="A231">
            <v>590000</v>
          </cell>
          <cell r="B231" t="str">
            <v xml:space="preserve">PROFIT AND LOSS YEAR UNDER REWIV                                        </v>
          </cell>
          <cell r="C231">
            <v>0</v>
          </cell>
          <cell r="D231">
            <v>0</v>
          </cell>
          <cell r="E231">
            <v>41364</v>
          </cell>
          <cell r="F231" t="str">
            <v>FCBU</v>
          </cell>
          <cell r="H231">
            <v>0</v>
          </cell>
        </row>
        <row r="232">
          <cell r="F232" t="str">
            <v>FCBU</v>
          </cell>
        </row>
        <row r="233">
          <cell r="A233" t="str">
            <v>Equity Sub Total</v>
          </cell>
          <cell r="C233">
            <v>0</v>
          </cell>
          <cell r="D233">
            <v>0</v>
          </cell>
          <cell r="F233" t="str">
            <v>FCBU</v>
          </cell>
          <cell r="H233">
            <v>0</v>
          </cell>
        </row>
        <row r="234">
          <cell r="F234" t="str">
            <v>FCBU</v>
          </cell>
        </row>
        <row r="235">
          <cell r="A235">
            <v>600000</v>
          </cell>
          <cell r="B235" t="str">
            <v xml:space="preserve">CUST. LIA O/A L.C.'S ESTBD.                                        </v>
          </cell>
          <cell r="C235">
            <v>254827002.42408645</v>
          </cell>
          <cell r="D235">
            <v>0</v>
          </cell>
          <cell r="E235">
            <v>41364</v>
          </cell>
          <cell r="F235" t="str">
            <v>FCBU</v>
          </cell>
          <cell r="H235">
            <v>254827002.42408645</v>
          </cell>
        </row>
        <row r="236">
          <cell r="A236">
            <v>604010</v>
          </cell>
          <cell r="B236" t="str">
            <v xml:space="preserve">CUSTOMER LIA O/A GUARANTEES GRANTED                                        </v>
          </cell>
          <cell r="C236">
            <v>2949302.6924999999</v>
          </cell>
          <cell r="D236">
            <v>0</v>
          </cell>
          <cell r="E236">
            <v>41364</v>
          </cell>
          <cell r="F236" t="str">
            <v>FCBU</v>
          </cell>
          <cell r="H236">
            <v>2949302.6924999999</v>
          </cell>
        </row>
        <row r="237">
          <cell r="A237">
            <v>612010</v>
          </cell>
          <cell r="B237" t="str">
            <v xml:space="preserve">BILLS RECEBLE A/C - USANCE BILLS                                        </v>
          </cell>
          <cell r="C237">
            <v>279411700.93951637</v>
          </cell>
          <cell r="D237">
            <v>0</v>
          </cell>
          <cell r="E237">
            <v>41364</v>
          </cell>
          <cell r="F237" t="str">
            <v>FCBU</v>
          </cell>
          <cell r="H237">
            <v>279411700.93951637</v>
          </cell>
        </row>
        <row r="238">
          <cell r="A238">
            <v>614010</v>
          </cell>
          <cell r="B238" t="str">
            <v xml:space="preserve">LIA OF CORRES. O/A CONFIRMED CREDIT                                        </v>
          </cell>
          <cell r="C238">
            <v>0</v>
          </cell>
          <cell r="D238">
            <v>0</v>
          </cell>
          <cell r="E238">
            <v>41364</v>
          </cell>
          <cell r="F238" t="str">
            <v>FCBU</v>
          </cell>
          <cell r="H238">
            <v>0</v>
          </cell>
        </row>
        <row r="239">
          <cell r="A239">
            <v>616010</v>
          </cell>
          <cell r="B239" t="str">
            <v xml:space="preserve">CUSTOMER LIA OA SHIPPING GUAR ISSUED                                        </v>
          </cell>
          <cell r="C239">
            <v>30704515.127999999</v>
          </cell>
          <cell r="D239">
            <v>0</v>
          </cell>
          <cell r="E239">
            <v>41364</v>
          </cell>
          <cell r="F239" t="str">
            <v>FCBU</v>
          </cell>
          <cell r="H239">
            <v>30704515.127999999</v>
          </cell>
        </row>
        <row r="240">
          <cell r="A240">
            <v>660030</v>
          </cell>
          <cell r="B240" t="str">
            <v xml:space="preserve">BILLS RECEIV O/A COLLEC.- FOREIGN                                        </v>
          </cell>
          <cell r="C240">
            <v>0</v>
          </cell>
          <cell r="D240">
            <v>0</v>
          </cell>
          <cell r="E240">
            <v>41364</v>
          </cell>
          <cell r="F240" t="str">
            <v>FCBU</v>
          </cell>
          <cell r="H240">
            <v>0</v>
          </cell>
        </row>
        <row r="241">
          <cell r="A241">
            <v>660080</v>
          </cell>
          <cell r="B241" t="str">
            <v xml:space="preserve">BILLS RECEBLE O/A CORRES &amp; AGENTS                                        </v>
          </cell>
          <cell r="C241">
            <v>66541101.536250003</v>
          </cell>
          <cell r="D241">
            <v>0</v>
          </cell>
          <cell r="E241">
            <v>41364</v>
          </cell>
          <cell r="F241" t="str">
            <v>FCBU</v>
          </cell>
          <cell r="H241">
            <v>66541101.536250003</v>
          </cell>
        </row>
        <row r="242">
          <cell r="A242">
            <v>660090</v>
          </cell>
          <cell r="B242" t="str">
            <v xml:space="preserve">DOC. BILLS RECEIV O/A COLLEC. -FOREIGN                                        </v>
          </cell>
          <cell r="C242">
            <v>120112333.76757614</v>
          </cell>
          <cell r="D242">
            <v>0</v>
          </cell>
          <cell r="E242">
            <v>41364</v>
          </cell>
          <cell r="F242" t="str">
            <v>FCBU</v>
          </cell>
          <cell r="H242">
            <v>120112333.76757614</v>
          </cell>
        </row>
        <row r="243">
          <cell r="A243">
            <v>660120</v>
          </cell>
          <cell r="B243" t="str">
            <v xml:space="preserve">BILLS RECE.-USD CHEQUES/DRAFTS LOC CLG                                        </v>
          </cell>
          <cell r="C243">
            <v>20201415.243749999</v>
          </cell>
          <cell r="D243">
            <v>0</v>
          </cell>
          <cell r="E243">
            <v>41364</v>
          </cell>
          <cell r="F243" t="str">
            <v>FCBU</v>
          </cell>
          <cell r="H243">
            <v>20201415.243749999</v>
          </cell>
        </row>
        <row r="244">
          <cell r="A244">
            <v>660140</v>
          </cell>
          <cell r="B244" t="str">
            <v xml:space="preserve">BILLS RECEBLE O/A MISCELLANEOUS                                        </v>
          </cell>
          <cell r="C244">
            <v>0</v>
          </cell>
          <cell r="D244">
            <v>0</v>
          </cell>
          <cell r="E244">
            <v>41364</v>
          </cell>
          <cell r="F244" t="str">
            <v>FCBU</v>
          </cell>
          <cell r="H244">
            <v>0</v>
          </cell>
        </row>
        <row r="245">
          <cell r="A245">
            <v>670010</v>
          </cell>
          <cell r="B245" t="str">
            <v xml:space="preserve">TC - AMEX AND TRAVEL RELATED SERVICES                                        </v>
          </cell>
          <cell r="C245">
            <v>0</v>
          </cell>
          <cell r="D245">
            <v>0</v>
          </cell>
          <cell r="E245">
            <v>41364</v>
          </cell>
          <cell r="F245" t="str">
            <v>FCBU</v>
          </cell>
          <cell r="H245">
            <v>0</v>
          </cell>
        </row>
        <row r="246">
          <cell r="A246">
            <v>690180</v>
          </cell>
          <cell r="B246" t="str">
            <v xml:space="preserve">INTEREST RECEBLE NP ADVANCES                                        </v>
          </cell>
          <cell r="C246">
            <v>670427363.90324998</v>
          </cell>
          <cell r="D246">
            <v>0</v>
          </cell>
          <cell r="E246">
            <v>41364</v>
          </cell>
          <cell r="F246" t="str">
            <v>FCBU</v>
          </cell>
          <cell r="H246">
            <v>670427363.90324998</v>
          </cell>
        </row>
        <row r="247">
          <cell r="F247" t="str">
            <v>FCBU</v>
          </cell>
        </row>
        <row r="248">
          <cell r="A248" t="str">
            <v>Cont. Asset Sub Total</v>
          </cell>
          <cell r="C248">
            <v>1445174735.6349289</v>
          </cell>
          <cell r="D248">
            <v>0</v>
          </cell>
          <cell r="F248" t="str">
            <v>FCBU</v>
          </cell>
          <cell r="H248">
            <v>1445174735.6349287</v>
          </cell>
        </row>
        <row r="249">
          <cell r="F249" t="str">
            <v>FCBU</v>
          </cell>
        </row>
        <row r="250">
          <cell r="A250">
            <v>700000</v>
          </cell>
          <cell r="B250" t="str">
            <v xml:space="preserve">CONSITUENT CREDIT CONTFIRMED                                        </v>
          </cell>
          <cell r="C250">
            <v>0</v>
          </cell>
          <cell r="D250">
            <v>-254827002.42408645</v>
          </cell>
          <cell r="E250">
            <v>41364</v>
          </cell>
          <cell r="F250" t="str">
            <v>FCBU</v>
          </cell>
          <cell r="H250">
            <v>-254827002.42408645</v>
          </cell>
        </row>
        <row r="251">
          <cell r="A251">
            <v>704010</v>
          </cell>
          <cell r="B251" t="str">
            <v xml:space="preserve">GUARANTEES GRANTED                                        </v>
          </cell>
          <cell r="C251">
            <v>0</v>
          </cell>
          <cell r="D251">
            <v>-2949302.6924999999</v>
          </cell>
          <cell r="E251">
            <v>41364</v>
          </cell>
          <cell r="F251" t="str">
            <v>FCBU</v>
          </cell>
          <cell r="H251">
            <v>-2949302.6924999999</v>
          </cell>
        </row>
        <row r="252">
          <cell r="A252">
            <v>712010</v>
          </cell>
          <cell r="B252" t="str">
            <v xml:space="preserve">ACCEPT USANCE BILLS RECEBLE GBP                                        </v>
          </cell>
          <cell r="C252">
            <v>0</v>
          </cell>
          <cell r="D252">
            <v>-279411700.93951637</v>
          </cell>
          <cell r="E252">
            <v>41364</v>
          </cell>
          <cell r="F252" t="str">
            <v>FCBU</v>
          </cell>
          <cell r="H252">
            <v>-279411700.93951637</v>
          </cell>
        </row>
        <row r="253">
          <cell r="A253">
            <v>714010</v>
          </cell>
          <cell r="B253" t="str">
            <v xml:space="preserve">BANK LIABILITY ON CONFIRMED CREDIT O/ACORRESPOND.                             </v>
          </cell>
          <cell r="C253">
            <v>0</v>
          </cell>
          <cell r="D253">
            <v>0</v>
          </cell>
          <cell r="E253">
            <v>41364</v>
          </cell>
          <cell r="F253" t="str">
            <v>FCBU</v>
          </cell>
          <cell r="H253">
            <v>0</v>
          </cell>
        </row>
        <row r="254">
          <cell r="A254">
            <v>716010</v>
          </cell>
          <cell r="B254" t="str">
            <v xml:space="preserve">SHIPPING GUARANTEES ISSUED                                        </v>
          </cell>
          <cell r="C254">
            <v>0</v>
          </cell>
          <cell r="D254">
            <v>-30704515.127999999</v>
          </cell>
          <cell r="E254">
            <v>41364</v>
          </cell>
          <cell r="F254" t="str">
            <v>FCBU</v>
          </cell>
          <cell r="H254">
            <v>-30704515.127999999</v>
          </cell>
        </row>
        <row r="255">
          <cell r="A255">
            <v>760030</v>
          </cell>
          <cell r="B255" t="str">
            <v xml:space="preserve">BILLS SENT FOR COLLECTION - FOREIGN                                        </v>
          </cell>
          <cell r="C255">
            <v>0</v>
          </cell>
          <cell r="D255">
            <v>0</v>
          </cell>
          <cell r="E255">
            <v>41364</v>
          </cell>
          <cell r="F255" t="str">
            <v>FCBU</v>
          </cell>
          <cell r="H255">
            <v>0</v>
          </cell>
        </row>
        <row r="256">
          <cell r="A256">
            <v>760080</v>
          </cell>
          <cell r="B256" t="str">
            <v xml:space="preserve">BILLS IN HAND O/A CORP. &amp; AGENTS                                        </v>
          </cell>
          <cell r="C256">
            <v>0</v>
          </cell>
          <cell r="D256">
            <v>-66541101.536250003</v>
          </cell>
          <cell r="E256">
            <v>41364</v>
          </cell>
          <cell r="F256" t="str">
            <v>FCBU</v>
          </cell>
          <cell r="H256">
            <v>-66541101.536250003</v>
          </cell>
        </row>
        <row r="257">
          <cell r="A257">
            <v>760090</v>
          </cell>
          <cell r="B257" t="str">
            <v xml:space="preserve">DOCUM BILLS SENT FOR COLLEC. - FOREIGN                                        </v>
          </cell>
          <cell r="C257">
            <v>0</v>
          </cell>
          <cell r="D257">
            <v>-120112333.76757614</v>
          </cell>
          <cell r="E257">
            <v>41364</v>
          </cell>
          <cell r="F257" t="str">
            <v>FCBU</v>
          </cell>
          <cell r="H257">
            <v>-120112333.76757614</v>
          </cell>
        </row>
        <row r="258">
          <cell r="A258">
            <v>760120</v>
          </cell>
          <cell r="B258" t="str">
            <v xml:space="preserve">BILLS SENT COLLO/A $CHQ &amp; DRAFTS LOC CLG                                       </v>
          </cell>
          <cell r="C258">
            <v>0</v>
          </cell>
          <cell r="D258">
            <v>-20201415.243749999</v>
          </cell>
          <cell r="E258">
            <v>41364</v>
          </cell>
          <cell r="F258" t="str">
            <v>FCBU</v>
          </cell>
          <cell r="H258">
            <v>-20201415.243749999</v>
          </cell>
        </row>
        <row r="259">
          <cell r="A259">
            <v>760140</v>
          </cell>
          <cell r="B259" t="str">
            <v xml:space="preserve">BILLS SENT FOR COLLEC. - MISCELLENIOUS                                        </v>
          </cell>
          <cell r="C259">
            <v>0</v>
          </cell>
          <cell r="D259">
            <v>0</v>
          </cell>
          <cell r="E259">
            <v>41364</v>
          </cell>
          <cell r="F259" t="str">
            <v>FCBU</v>
          </cell>
          <cell r="H259">
            <v>0</v>
          </cell>
        </row>
        <row r="260">
          <cell r="A260">
            <v>770010</v>
          </cell>
          <cell r="B260" t="str">
            <v xml:space="preserve">TC - AMEX AND TRAVEL RELATED SERVICES                                        </v>
          </cell>
          <cell r="C260">
            <v>0</v>
          </cell>
          <cell r="D260">
            <v>0</v>
          </cell>
          <cell r="E260">
            <v>41364</v>
          </cell>
          <cell r="F260" t="str">
            <v>FCBU</v>
          </cell>
          <cell r="H260">
            <v>0</v>
          </cell>
        </row>
        <row r="261">
          <cell r="A261">
            <v>790180</v>
          </cell>
          <cell r="B261" t="str">
            <v xml:space="preserve">INT. IN SUSPENSE NON PERFORMING ADVANCES                                       </v>
          </cell>
          <cell r="C261">
            <v>0</v>
          </cell>
          <cell r="D261">
            <v>-670427363.90324998</v>
          </cell>
          <cell r="E261">
            <v>41364</v>
          </cell>
          <cell r="F261" t="str">
            <v>FCBU</v>
          </cell>
          <cell r="H261">
            <v>-670427363.90324998</v>
          </cell>
        </row>
        <row r="262">
          <cell r="A262">
            <v>799990</v>
          </cell>
          <cell r="B262" t="str">
            <v xml:space="preserve">FORCED BALANCE (OFF BALANCE SHEET)                                        </v>
          </cell>
          <cell r="C262">
            <v>0</v>
          </cell>
          <cell r="D262">
            <v>0</v>
          </cell>
          <cell r="E262">
            <v>41364</v>
          </cell>
          <cell r="F262" t="str">
            <v>FCBU</v>
          </cell>
          <cell r="H262">
            <v>0</v>
          </cell>
        </row>
        <row r="263">
          <cell r="F263" t="str">
            <v>FCBU</v>
          </cell>
        </row>
        <row r="264">
          <cell r="A264" t="str">
            <v>Cont. Liability Sub Total</v>
          </cell>
          <cell r="C264">
            <v>0</v>
          </cell>
          <cell r="D264">
            <v>-1445174735.6349289</v>
          </cell>
          <cell r="F264" t="str">
            <v>FCBU</v>
          </cell>
          <cell r="H264">
            <v>-1445174735.6349287</v>
          </cell>
        </row>
        <row r="265">
          <cell r="F265" t="str">
            <v>FCBU</v>
          </cell>
        </row>
        <row r="266">
          <cell r="B266" t="str">
            <v>TOTAL</v>
          </cell>
          <cell r="C266">
            <v>103076276081.8698</v>
          </cell>
          <cell r="D266">
            <v>-103076276081.8698</v>
          </cell>
          <cell r="F266" t="str">
            <v>FCBU</v>
          </cell>
          <cell r="H266">
            <v>-1.0728836059570313E-5</v>
          </cell>
        </row>
        <row r="267">
          <cell r="E267">
            <v>39994</v>
          </cell>
          <cell r="F267" t="str">
            <v>DBU</v>
          </cell>
        </row>
        <row r="268">
          <cell r="E268">
            <v>39994</v>
          </cell>
          <cell r="F268" t="str">
            <v>DBU</v>
          </cell>
        </row>
        <row r="269">
          <cell r="E269">
            <v>39994</v>
          </cell>
          <cell r="F269" t="str">
            <v>DBU</v>
          </cell>
        </row>
        <row r="270">
          <cell r="E270">
            <v>39994</v>
          </cell>
          <cell r="F270" t="str">
            <v>DBU</v>
          </cell>
        </row>
        <row r="271">
          <cell r="E271">
            <v>39994</v>
          </cell>
          <cell r="F271" t="str">
            <v>DBU</v>
          </cell>
        </row>
        <row r="272">
          <cell r="E272">
            <v>39994</v>
          </cell>
          <cell r="F272" t="str">
            <v>DBU</v>
          </cell>
        </row>
        <row r="273">
          <cell r="E273">
            <v>39994</v>
          </cell>
          <cell r="F273" t="str">
            <v>DBU</v>
          </cell>
        </row>
        <row r="274">
          <cell r="E274">
            <v>39994</v>
          </cell>
          <cell r="F274" t="str">
            <v>DBU</v>
          </cell>
        </row>
        <row r="275">
          <cell r="E275">
            <v>39994</v>
          </cell>
          <cell r="F275" t="str">
            <v>DBU</v>
          </cell>
        </row>
        <row r="276">
          <cell r="E276">
            <v>39994</v>
          </cell>
          <cell r="F276" t="str">
            <v>DBU</v>
          </cell>
        </row>
        <row r="277">
          <cell r="E277">
            <v>39994</v>
          </cell>
          <cell r="F277" t="str">
            <v>DBU</v>
          </cell>
        </row>
        <row r="278">
          <cell r="E278">
            <v>39994</v>
          </cell>
          <cell r="F278" t="str">
            <v>DBU</v>
          </cell>
        </row>
        <row r="279">
          <cell r="E279">
            <v>39994</v>
          </cell>
          <cell r="F279" t="str">
            <v>DBU</v>
          </cell>
        </row>
        <row r="280">
          <cell r="E280">
            <v>39994</v>
          </cell>
          <cell r="F280" t="str">
            <v>DBU</v>
          </cell>
        </row>
        <row r="281">
          <cell r="E281">
            <v>39994</v>
          </cell>
          <cell r="F281" t="str">
            <v>DBU</v>
          </cell>
        </row>
        <row r="282">
          <cell r="E282">
            <v>39994</v>
          </cell>
          <cell r="F282" t="str">
            <v>DBU</v>
          </cell>
        </row>
        <row r="283">
          <cell r="E283">
            <v>39994</v>
          </cell>
          <cell r="F283" t="str">
            <v>DBU</v>
          </cell>
        </row>
        <row r="284">
          <cell r="E284">
            <v>39994</v>
          </cell>
          <cell r="F284" t="str">
            <v>DBU</v>
          </cell>
        </row>
        <row r="285">
          <cell r="E285">
            <v>39994</v>
          </cell>
          <cell r="F285" t="str">
            <v>DBU</v>
          </cell>
        </row>
        <row r="286">
          <cell r="E286">
            <v>39994</v>
          </cell>
          <cell r="F286" t="str">
            <v>DBU</v>
          </cell>
        </row>
        <row r="287">
          <cell r="E287">
            <v>39994</v>
          </cell>
          <cell r="F287" t="str">
            <v>DBU</v>
          </cell>
        </row>
        <row r="288">
          <cell r="E288">
            <v>39994</v>
          </cell>
          <cell r="F288" t="str">
            <v>DBU</v>
          </cell>
        </row>
        <row r="289">
          <cell r="E289">
            <v>39994</v>
          </cell>
          <cell r="F289" t="str">
            <v>DBU</v>
          </cell>
        </row>
        <row r="290">
          <cell r="E290">
            <v>39994</v>
          </cell>
          <cell r="F290" t="str">
            <v>DBU</v>
          </cell>
        </row>
        <row r="291">
          <cell r="E291">
            <v>39994</v>
          </cell>
          <cell r="F291" t="str">
            <v>DBU</v>
          </cell>
        </row>
        <row r="292">
          <cell r="E292">
            <v>39994</v>
          </cell>
          <cell r="F292" t="str">
            <v>DBU</v>
          </cell>
        </row>
        <row r="293">
          <cell r="E293">
            <v>39994</v>
          </cell>
          <cell r="F293" t="str">
            <v>DBU</v>
          </cell>
        </row>
        <row r="294">
          <cell r="E294">
            <v>39994</v>
          </cell>
          <cell r="F294" t="str">
            <v>DBU</v>
          </cell>
        </row>
        <row r="295">
          <cell r="E295">
            <v>39994</v>
          </cell>
          <cell r="F295" t="str">
            <v>DBU</v>
          </cell>
        </row>
        <row r="296">
          <cell r="E296">
            <v>39994</v>
          </cell>
          <cell r="F296" t="str">
            <v>DBU</v>
          </cell>
        </row>
        <row r="297">
          <cell r="E297">
            <v>39994</v>
          </cell>
          <cell r="F297" t="str">
            <v>DBU</v>
          </cell>
        </row>
        <row r="298">
          <cell r="E298">
            <v>39994</v>
          </cell>
          <cell r="F298" t="str">
            <v>DBU</v>
          </cell>
        </row>
        <row r="299">
          <cell r="E299">
            <v>39994</v>
          </cell>
          <cell r="F299" t="str">
            <v>DBU</v>
          </cell>
        </row>
        <row r="300">
          <cell r="E300">
            <v>39994</v>
          </cell>
          <cell r="F300" t="str">
            <v>DBU</v>
          </cell>
        </row>
        <row r="301">
          <cell r="E301">
            <v>39994</v>
          </cell>
          <cell r="F301" t="str">
            <v>DBU</v>
          </cell>
        </row>
        <row r="302">
          <cell r="E302">
            <v>39994</v>
          </cell>
          <cell r="F302" t="str">
            <v>DBU</v>
          </cell>
        </row>
        <row r="303">
          <cell r="E303">
            <v>39994</v>
          </cell>
          <cell r="F303" t="str">
            <v>DBU</v>
          </cell>
        </row>
        <row r="304">
          <cell r="E304">
            <v>39994</v>
          </cell>
          <cell r="F304" t="str">
            <v>DBU</v>
          </cell>
        </row>
        <row r="305">
          <cell r="E305">
            <v>39994</v>
          </cell>
          <cell r="F305" t="str">
            <v>DBU</v>
          </cell>
        </row>
        <row r="306">
          <cell r="E306">
            <v>39994</v>
          </cell>
          <cell r="F306" t="str">
            <v>DBU</v>
          </cell>
        </row>
        <row r="307">
          <cell r="E307">
            <v>39994</v>
          </cell>
          <cell r="F307" t="str">
            <v>DBU</v>
          </cell>
        </row>
        <row r="308">
          <cell r="E308">
            <v>39994</v>
          </cell>
          <cell r="F308" t="str">
            <v>DBU</v>
          </cell>
        </row>
        <row r="309">
          <cell r="E309">
            <v>39994</v>
          </cell>
          <cell r="F309" t="str">
            <v>DBU</v>
          </cell>
        </row>
        <row r="310">
          <cell r="E310">
            <v>39994</v>
          </cell>
          <cell r="F310" t="str">
            <v>DBU</v>
          </cell>
        </row>
        <row r="311">
          <cell r="E311">
            <v>39994</v>
          </cell>
          <cell r="F311" t="str">
            <v>DBU</v>
          </cell>
        </row>
        <row r="312">
          <cell r="E312">
            <v>39994</v>
          </cell>
          <cell r="F312" t="str">
            <v>DBU</v>
          </cell>
        </row>
        <row r="313">
          <cell r="E313">
            <v>39994</v>
          </cell>
          <cell r="F313" t="str">
            <v>DBU</v>
          </cell>
        </row>
        <row r="314">
          <cell r="E314">
            <v>39994</v>
          </cell>
          <cell r="F314" t="str">
            <v>DBU</v>
          </cell>
        </row>
        <row r="315">
          <cell r="E315">
            <v>39994</v>
          </cell>
          <cell r="F315" t="str">
            <v>DBU</v>
          </cell>
        </row>
        <row r="316">
          <cell r="E316">
            <v>39994</v>
          </cell>
          <cell r="F316" t="str">
            <v>DBU</v>
          </cell>
        </row>
        <row r="317">
          <cell r="E317">
            <v>39994</v>
          </cell>
          <cell r="F317" t="str">
            <v>DBU</v>
          </cell>
        </row>
        <row r="318">
          <cell r="E318">
            <v>39994</v>
          </cell>
          <cell r="F318" t="str">
            <v>DBU</v>
          </cell>
        </row>
        <row r="319">
          <cell r="E319">
            <v>39994</v>
          </cell>
          <cell r="F319" t="str">
            <v>DBU</v>
          </cell>
        </row>
        <row r="320">
          <cell r="E320">
            <v>39994</v>
          </cell>
          <cell r="F320" t="str">
            <v>DBU</v>
          </cell>
        </row>
        <row r="321">
          <cell r="E321">
            <v>39994</v>
          </cell>
          <cell r="F321" t="str">
            <v>DBU</v>
          </cell>
        </row>
        <row r="322">
          <cell r="E322">
            <v>39994</v>
          </cell>
          <cell r="F322" t="str">
            <v>DBU</v>
          </cell>
        </row>
        <row r="323">
          <cell r="E323">
            <v>39994</v>
          </cell>
          <cell r="F323" t="str">
            <v>DBU</v>
          </cell>
        </row>
        <row r="324">
          <cell r="E324">
            <v>39994</v>
          </cell>
          <cell r="F324" t="str">
            <v>DBU</v>
          </cell>
        </row>
        <row r="325">
          <cell r="E325">
            <v>39994</v>
          </cell>
          <cell r="F325" t="str">
            <v>DBU</v>
          </cell>
        </row>
        <row r="326">
          <cell r="E326">
            <v>39994</v>
          </cell>
          <cell r="F326" t="str">
            <v>DBU</v>
          </cell>
        </row>
        <row r="327">
          <cell r="E327">
            <v>39994</v>
          </cell>
          <cell r="F327" t="str">
            <v>DBU</v>
          </cell>
        </row>
        <row r="328">
          <cell r="E328">
            <v>39994</v>
          </cell>
          <cell r="F328" t="str">
            <v>DBU</v>
          </cell>
        </row>
        <row r="329">
          <cell r="E329">
            <v>39994</v>
          </cell>
          <cell r="F329" t="str">
            <v>DBU</v>
          </cell>
        </row>
        <row r="330">
          <cell r="E330">
            <v>39994</v>
          </cell>
          <cell r="F330" t="str">
            <v>DBU</v>
          </cell>
        </row>
        <row r="331">
          <cell r="E331">
            <v>39994</v>
          </cell>
          <cell r="F331" t="str">
            <v>DBU</v>
          </cell>
        </row>
        <row r="332">
          <cell r="E332">
            <v>39994</v>
          </cell>
          <cell r="F332" t="str">
            <v>DBU</v>
          </cell>
        </row>
        <row r="333">
          <cell r="E333">
            <v>39994</v>
          </cell>
          <cell r="F333" t="str">
            <v>DBU</v>
          </cell>
        </row>
        <row r="334">
          <cell r="E334">
            <v>39994</v>
          </cell>
          <cell r="F334" t="str">
            <v>DBU</v>
          </cell>
        </row>
        <row r="335">
          <cell r="E335">
            <v>39994</v>
          </cell>
          <cell r="F335" t="str">
            <v>DBU</v>
          </cell>
        </row>
        <row r="336">
          <cell r="E336">
            <v>39994</v>
          </cell>
          <cell r="F336" t="str">
            <v>DBU</v>
          </cell>
        </row>
        <row r="337">
          <cell r="E337">
            <v>39994</v>
          </cell>
          <cell r="F337" t="str">
            <v>DBU</v>
          </cell>
        </row>
        <row r="338">
          <cell r="E338">
            <v>39994</v>
          </cell>
          <cell r="F338" t="str">
            <v>DBU</v>
          </cell>
        </row>
        <row r="339">
          <cell r="E339">
            <v>39994</v>
          </cell>
          <cell r="F339" t="str">
            <v>DBU</v>
          </cell>
        </row>
        <row r="340">
          <cell r="E340">
            <v>39994</v>
          </cell>
          <cell r="F340" t="str">
            <v>DBU</v>
          </cell>
        </row>
        <row r="341">
          <cell r="E341">
            <v>39994</v>
          </cell>
          <cell r="F341" t="str">
            <v>DBU</v>
          </cell>
        </row>
        <row r="342">
          <cell r="E342">
            <v>39994</v>
          </cell>
          <cell r="F342" t="str">
            <v>DBU</v>
          </cell>
        </row>
        <row r="343">
          <cell r="E343">
            <v>39994</v>
          </cell>
          <cell r="F343" t="str">
            <v>DBU</v>
          </cell>
        </row>
        <row r="344">
          <cell r="E344">
            <v>39994</v>
          </cell>
          <cell r="F344" t="str">
            <v>DBU</v>
          </cell>
        </row>
        <row r="345">
          <cell r="E345">
            <v>39994</v>
          </cell>
          <cell r="F345" t="str">
            <v>DBU</v>
          </cell>
        </row>
        <row r="346">
          <cell r="E346">
            <v>39994</v>
          </cell>
          <cell r="F346" t="str">
            <v>DBU</v>
          </cell>
        </row>
        <row r="347">
          <cell r="E347">
            <v>39994</v>
          </cell>
          <cell r="F347" t="str">
            <v>DBU</v>
          </cell>
        </row>
        <row r="348">
          <cell r="E348">
            <v>39994</v>
          </cell>
          <cell r="F348" t="str">
            <v>DBU</v>
          </cell>
        </row>
        <row r="349">
          <cell r="E349">
            <v>39994</v>
          </cell>
          <cell r="F349" t="str">
            <v>DBU</v>
          </cell>
        </row>
        <row r="350">
          <cell r="E350">
            <v>39994</v>
          </cell>
          <cell r="F350" t="str">
            <v>DBU</v>
          </cell>
        </row>
        <row r="351">
          <cell r="E351">
            <v>39994</v>
          </cell>
          <cell r="F351" t="str">
            <v>DBU</v>
          </cell>
        </row>
        <row r="352">
          <cell r="E352">
            <v>39994</v>
          </cell>
          <cell r="F352" t="str">
            <v>DBU</v>
          </cell>
        </row>
        <row r="353">
          <cell r="E353">
            <v>39994</v>
          </cell>
          <cell r="F353" t="str">
            <v>DBU</v>
          </cell>
        </row>
        <row r="354">
          <cell r="E354">
            <v>39994</v>
          </cell>
          <cell r="F354" t="str">
            <v>DBU</v>
          </cell>
        </row>
        <row r="355">
          <cell r="E355">
            <v>39994</v>
          </cell>
          <cell r="F355" t="str">
            <v>DBU</v>
          </cell>
        </row>
        <row r="356">
          <cell r="E356">
            <v>39994</v>
          </cell>
          <cell r="F356" t="str">
            <v>DBU</v>
          </cell>
        </row>
        <row r="357">
          <cell r="E357">
            <v>39994</v>
          </cell>
          <cell r="F357" t="str">
            <v>DBU</v>
          </cell>
        </row>
        <row r="358">
          <cell r="E358">
            <v>39994</v>
          </cell>
          <cell r="F358" t="str">
            <v>DBU</v>
          </cell>
        </row>
        <row r="359">
          <cell r="E359">
            <v>39994</v>
          </cell>
          <cell r="F359" t="str">
            <v>DBU</v>
          </cell>
        </row>
        <row r="360">
          <cell r="E360">
            <v>39994</v>
          </cell>
          <cell r="F360" t="str">
            <v>DBU</v>
          </cell>
        </row>
        <row r="361">
          <cell r="E361">
            <v>39994</v>
          </cell>
          <cell r="F361" t="str">
            <v>DBU</v>
          </cell>
        </row>
        <row r="362">
          <cell r="E362">
            <v>39994</v>
          </cell>
          <cell r="F362" t="str">
            <v>DBU</v>
          </cell>
        </row>
        <row r="363">
          <cell r="E363">
            <v>39994</v>
          </cell>
          <cell r="F363" t="str">
            <v>DBU</v>
          </cell>
        </row>
        <row r="364">
          <cell r="E364">
            <v>39994</v>
          </cell>
          <cell r="F364" t="str">
            <v>DBU</v>
          </cell>
        </row>
        <row r="365">
          <cell r="E365">
            <v>39994</v>
          </cell>
          <cell r="F365" t="str">
            <v>DBU</v>
          </cell>
        </row>
        <row r="366">
          <cell r="E366">
            <v>39994</v>
          </cell>
          <cell r="F366" t="str">
            <v>DBU</v>
          </cell>
        </row>
        <row r="367">
          <cell r="E367">
            <v>39994</v>
          </cell>
          <cell r="F367" t="str">
            <v>DBU</v>
          </cell>
        </row>
        <row r="368">
          <cell r="E368">
            <v>39994</v>
          </cell>
          <cell r="F368" t="str">
            <v>DBU</v>
          </cell>
        </row>
        <row r="369">
          <cell r="E369">
            <v>39994</v>
          </cell>
          <cell r="F369" t="str">
            <v>DBU</v>
          </cell>
        </row>
        <row r="370">
          <cell r="E370">
            <v>39994</v>
          </cell>
          <cell r="F370" t="str">
            <v>DBU</v>
          </cell>
        </row>
        <row r="371">
          <cell r="E371">
            <v>39994</v>
          </cell>
          <cell r="F371" t="str">
            <v>DBU</v>
          </cell>
        </row>
        <row r="372">
          <cell r="E372">
            <v>39994</v>
          </cell>
          <cell r="F372" t="str">
            <v>DBU</v>
          </cell>
        </row>
        <row r="373">
          <cell r="E373">
            <v>39994</v>
          </cell>
          <cell r="F373" t="str">
            <v>DBU</v>
          </cell>
        </row>
        <row r="374">
          <cell r="E374">
            <v>39994</v>
          </cell>
          <cell r="F374" t="str">
            <v>DBU</v>
          </cell>
        </row>
        <row r="375">
          <cell r="E375">
            <v>39994</v>
          </cell>
          <cell r="F375" t="str">
            <v>DBU</v>
          </cell>
        </row>
        <row r="376">
          <cell r="E376">
            <v>39994</v>
          </cell>
          <cell r="F376" t="str">
            <v>DBU</v>
          </cell>
        </row>
        <row r="377">
          <cell r="E377">
            <v>39994</v>
          </cell>
          <cell r="F377" t="str">
            <v>DBU</v>
          </cell>
        </row>
        <row r="378">
          <cell r="E378">
            <v>39994</v>
          </cell>
          <cell r="F378" t="str">
            <v>DBU</v>
          </cell>
        </row>
        <row r="379">
          <cell r="E379">
            <v>39994</v>
          </cell>
          <cell r="F379" t="str">
            <v>DBU</v>
          </cell>
        </row>
        <row r="380">
          <cell r="E380">
            <v>39994</v>
          </cell>
          <cell r="F380" t="str">
            <v>DBU</v>
          </cell>
        </row>
        <row r="381">
          <cell r="E381">
            <v>39994</v>
          </cell>
          <cell r="F381" t="str">
            <v>DBU</v>
          </cell>
        </row>
        <row r="382">
          <cell r="E382">
            <v>39994</v>
          </cell>
          <cell r="F382" t="str">
            <v>DBU</v>
          </cell>
        </row>
        <row r="383">
          <cell r="E383">
            <v>39994</v>
          </cell>
          <cell r="F383" t="str">
            <v>DBU</v>
          </cell>
        </row>
        <row r="384">
          <cell r="E384">
            <v>39994</v>
          </cell>
          <cell r="F384" t="str">
            <v>DBU</v>
          </cell>
        </row>
        <row r="385">
          <cell r="E385">
            <v>39994</v>
          </cell>
          <cell r="F385" t="str">
            <v>DBU</v>
          </cell>
        </row>
        <row r="386">
          <cell r="E386">
            <v>39994</v>
          </cell>
          <cell r="F386" t="str">
            <v>DBU</v>
          </cell>
        </row>
        <row r="387">
          <cell r="E387">
            <v>39994</v>
          </cell>
          <cell r="F387" t="str">
            <v>DBU</v>
          </cell>
        </row>
        <row r="388">
          <cell r="E388">
            <v>39994</v>
          </cell>
          <cell r="F388" t="str">
            <v>DBU</v>
          </cell>
        </row>
        <row r="389">
          <cell r="E389">
            <v>39994</v>
          </cell>
          <cell r="F389" t="str">
            <v>DBU</v>
          </cell>
        </row>
        <row r="390">
          <cell r="E390">
            <v>39994</v>
          </cell>
          <cell r="F390" t="str">
            <v>DBU</v>
          </cell>
        </row>
        <row r="391">
          <cell r="E391">
            <v>39994</v>
          </cell>
          <cell r="F391" t="str">
            <v>DBU</v>
          </cell>
        </row>
        <row r="392">
          <cell r="E392">
            <v>39994</v>
          </cell>
          <cell r="F392" t="str">
            <v>DBU</v>
          </cell>
        </row>
        <row r="393">
          <cell r="E393">
            <v>39994</v>
          </cell>
          <cell r="F393" t="str">
            <v>DBU</v>
          </cell>
        </row>
        <row r="394">
          <cell r="E394">
            <v>39994</v>
          </cell>
          <cell r="F394" t="str">
            <v>DBU</v>
          </cell>
        </row>
        <row r="395">
          <cell r="E395">
            <v>39994</v>
          </cell>
          <cell r="F395" t="str">
            <v>DBU</v>
          </cell>
        </row>
        <row r="396">
          <cell r="E396">
            <v>39994</v>
          </cell>
          <cell r="F396" t="str">
            <v>DBU</v>
          </cell>
        </row>
        <row r="397">
          <cell r="E397">
            <v>39994</v>
          </cell>
          <cell r="F397" t="str">
            <v>DBU</v>
          </cell>
        </row>
        <row r="398">
          <cell r="E398">
            <v>39994</v>
          </cell>
          <cell r="F398" t="str">
            <v>DBU</v>
          </cell>
        </row>
        <row r="399">
          <cell r="E399">
            <v>39994</v>
          </cell>
          <cell r="F399" t="str">
            <v>DBU</v>
          </cell>
        </row>
        <row r="400">
          <cell r="E400">
            <v>39994</v>
          </cell>
          <cell r="F400" t="str">
            <v>DBU</v>
          </cell>
        </row>
        <row r="401">
          <cell r="E401">
            <v>39994</v>
          </cell>
          <cell r="F401" t="str">
            <v>DBU</v>
          </cell>
        </row>
        <row r="402">
          <cell r="E402">
            <v>39994</v>
          </cell>
          <cell r="F402" t="str">
            <v>DBU</v>
          </cell>
        </row>
        <row r="403">
          <cell r="E403">
            <v>39994</v>
          </cell>
          <cell r="F403" t="str">
            <v>DBU</v>
          </cell>
        </row>
        <row r="404">
          <cell r="E404">
            <v>39994</v>
          </cell>
          <cell r="F404" t="str">
            <v>DBU</v>
          </cell>
        </row>
        <row r="405">
          <cell r="E405">
            <v>39994</v>
          </cell>
          <cell r="F405" t="str">
            <v>DBU</v>
          </cell>
        </row>
        <row r="406">
          <cell r="E406">
            <v>39994</v>
          </cell>
          <cell r="F406" t="str">
            <v>DBU</v>
          </cell>
        </row>
        <row r="407">
          <cell r="E407">
            <v>39994</v>
          </cell>
          <cell r="F407" t="str">
            <v>DBU</v>
          </cell>
        </row>
        <row r="408">
          <cell r="E408">
            <v>39994</v>
          </cell>
          <cell r="F408" t="str">
            <v>DBU</v>
          </cell>
        </row>
        <row r="409">
          <cell r="E409">
            <v>39994</v>
          </cell>
          <cell r="F409" t="str">
            <v>DBU</v>
          </cell>
        </row>
        <row r="410">
          <cell r="E410">
            <v>39994</v>
          </cell>
          <cell r="F410" t="str">
            <v>DBU</v>
          </cell>
        </row>
        <row r="411">
          <cell r="E411">
            <v>39994</v>
          </cell>
          <cell r="F411" t="str">
            <v>DBU</v>
          </cell>
        </row>
        <row r="412">
          <cell r="E412">
            <v>39994</v>
          </cell>
          <cell r="F412" t="str">
            <v>DBU</v>
          </cell>
        </row>
        <row r="413">
          <cell r="E413">
            <v>39994</v>
          </cell>
          <cell r="F413" t="str">
            <v>DBU</v>
          </cell>
        </row>
        <row r="414">
          <cell r="E414">
            <v>39994</v>
          </cell>
          <cell r="F414" t="str">
            <v>DBU</v>
          </cell>
        </row>
        <row r="415">
          <cell r="E415">
            <v>39994</v>
          </cell>
          <cell r="F415" t="str">
            <v>DBU</v>
          </cell>
        </row>
        <row r="416">
          <cell r="E416">
            <v>39994</v>
          </cell>
          <cell r="F416" t="str">
            <v>DBU</v>
          </cell>
        </row>
        <row r="417">
          <cell r="E417">
            <v>39994</v>
          </cell>
          <cell r="F417" t="str">
            <v>DBU</v>
          </cell>
        </row>
        <row r="418">
          <cell r="E418">
            <v>39994</v>
          </cell>
          <cell r="F418" t="str">
            <v>DBU</v>
          </cell>
        </row>
        <row r="419">
          <cell r="E419">
            <v>39994</v>
          </cell>
          <cell r="F419" t="str">
            <v>DBU</v>
          </cell>
        </row>
        <row r="420">
          <cell r="E420">
            <v>39994</v>
          </cell>
          <cell r="F420" t="str">
            <v>DBU</v>
          </cell>
        </row>
        <row r="421">
          <cell r="E421">
            <v>39994</v>
          </cell>
          <cell r="F421" t="str">
            <v>DBU</v>
          </cell>
        </row>
        <row r="422">
          <cell r="E422">
            <v>39994</v>
          </cell>
          <cell r="F422" t="str">
            <v>DBU</v>
          </cell>
        </row>
        <row r="423">
          <cell r="E423">
            <v>39994</v>
          </cell>
          <cell r="F423" t="str">
            <v>DBU</v>
          </cell>
        </row>
        <row r="424">
          <cell r="E424">
            <v>39994</v>
          </cell>
          <cell r="F424" t="str">
            <v>DBU</v>
          </cell>
        </row>
        <row r="425">
          <cell r="E425">
            <v>39994</v>
          </cell>
          <cell r="F425" t="str">
            <v>DBU</v>
          </cell>
        </row>
        <row r="426">
          <cell r="E426">
            <v>39994</v>
          </cell>
          <cell r="F426" t="str">
            <v>DBU</v>
          </cell>
        </row>
        <row r="427">
          <cell r="E427">
            <v>39994</v>
          </cell>
          <cell r="F427" t="str">
            <v>DBU</v>
          </cell>
        </row>
        <row r="428">
          <cell r="E428">
            <v>39994</v>
          </cell>
          <cell r="F428" t="str">
            <v>DBU</v>
          </cell>
        </row>
        <row r="429">
          <cell r="E429">
            <v>39994</v>
          </cell>
          <cell r="F429" t="str">
            <v>DBU</v>
          </cell>
        </row>
        <row r="430">
          <cell r="E430">
            <v>39994</v>
          </cell>
          <cell r="F430" t="str">
            <v>DBU</v>
          </cell>
        </row>
        <row r="431">
          <cell r="E431">
            <v>39994</v>
          </cell>
          <cell r="F431" t="str">
            <v>DBU</v>
          </cell>
        </row>
        <row r="432">
          <cell r="E432">
            <v>39994</v>
          </cell>
          <cell r="F432" t="str">
            <v>DBU</v>
          </cell>
        </row>
        <row r="433">
          <cell r="E433">
            <v>39994</v>
          </cell>
          <cell r="F433" t="str">
            <v>DBU</v>
          </cell>
        </row>
        <row r="434">
          <cell r="E434">
            <v>39994</v>
          </cell>
          <cell r="F434" t="str">
            <v>DBU</v>
          </cell>
        </row>
        <row r="435">
          <cell r="E435">
            <v>39994</v>
          </cell>
          <cell r="F435" t="str">
            <v>DBU</v>
          </cell>
        </row>
        <row r="436">
          <cell r="E436">
            <v>39994</v>
          </cell>
          <cell r="F436" t="str">
            <v>DBU</v>
          </cell>
        </row>
        <row r="437">
          <cell r="E437">
            <v>39994</v>
          </cell>
          <cell r="F437" t="str">
            <v>DBU</v>
          </cell>
        </row>
        <row r="438">
          <cell r="E438">
            <v>39994</v>
          </cell>
          <cell r="F438" t="str">
            <v>DBU</v>
          </cell>
        </row>
        <row r="439">
          <cell r="E439">
            <v>39994</v>
          </cell>
          <cell r="F439" t="str">
            <v>DBU</v>
          </cell>
        </row>
        <row r="440">
          <cell r="E440">
            <v>39994</v>
          </cell>
          <cell r="F440" t="str">
            <v>DBU</v>
          </cell>
        </row>
        <row r="441">
          <cell r="E441">
            <v>39994</v>
          </cell>
          <cell r="F441" t="str">
            <v>DBU</v>
          </cell>
        </row>
        <row r="442">
          <cell r="E442">
            <v>39994</v>
          </cell>
          <cell r="F442" t="str">
            <v>DBU</v>
          </cell>
        </row>
        <row r="443">
          <cell r="E443">
            <v>39994</v>
          </cell>
          <cell r="F443" t="str">
            <v>DBU</v>
          </cell>
        </row>
        <row r="444">
          <cell r="E444">
            <v>39994</v>
          </cell>
          <cell r="F444" t="str">
            <v>DBU</v>
          </cell>
        </row>
        <row r="445">
          <cell r="E445">
            <v>39994</v>
          </cell>
          <cell r="F445" t="str">
            <v>DBU</v>
          </cell>
        </row>
        <row r="446">
          <cell r="E446">
            <v>39994</v>
          </cell>
          <cell r="F446" t="str">
            <v>DBU</v>
          </cell>
        </row>
        <row r="447">
          <cell r="E447">
            <v>39994</v>
          </cell>
          <cell r="F447" t="str">
            <v>DBU</v>
          </cell>
        </row>
        <row r="448">
          <cell r="E448">
            <v>39994</v>
          </cell>
          <cell r="F448" t="str">
            <v>DBU</v>
          </cell>
        </row>
        <row r="449">
          <cell r="E449">
            <v>39994</v>
          </cell>
          <cell r="F449" t="str">
            <v>DBU</v>
          </cell>
        </row>
        <row r="450">
          <cell r="E450">
            <v>39994</v>
          </cell>
          <cell r="F450" t="str">
            <v>DBU</v>
          </cell>
        </row>
        <row r="451">
          <cell r="F451" t="str">
            <v>DBU</v>
          </cell>
        </row>
        <row r="452">
          <cell r="F452" t="str">
            <v>DBU</v>
          </cell>
        </row>
        <row r="453">
          <cell r="F453" t="str">
            <v>DBU</v>
          </cell>
        </row>
        <row r="454">
          <cell r="E454">
            <v>39994</v>
          </cell>
          <cell r="F454" t="str">
            <v>DBU</v>
          </cell>
        </row>
        <row r="455">
          <cell r="E455">
            <v>39994</v>
          </cell>
          <cell r="F455" t="str">
            <v>DBU</v>
          </cell>
        </row>
        <row r="456">
          <cell r="E456">
            <v>39994</v>
          </cell>
          <cell r="F456" t="str">
            <v>DBU</v>
          </cell>
        </row>
        <row r="457">
          <cell r="E457">
            <v>39994</v>
          </cell>
          <cell r="F457" t="str">
            <v>DBU</v>
          </cell>
        </row>
        <row r="458">
          <cell r="E458">
            <v>39994</v>
          </cell>
          <cell r="F458" t="str">
            <v>DBU</v>
          </cell>
        </row>
        <row r="459">
          <cell r="E459">
            <v>39994</v>
          </cell>
          <cell r="F459" t="str">
            <v>DBU</v>
          </cell>
        </row>
        <row r="460">
          <cell r="E460">
            <v>39994</v>
          </cell>
          <cell r="F460" t="str">
            <v>DBU</v>
          </cell>
        </row>
        <row r="461">
          <cell r="E461">
            <v>39994</v>
          </cell>
          <cell r="F461" t="str">
            <v>DBU</v>
          </cell>
        </row>
        <row r="462">
          <cell r="E462">
            <v>39994</v>
          </cell>
          <cell r="F462" t="str">
            <v>DBU</v>
          </cell>
        </row>
        <row r="463">
          <cell r="E463">
            <v>39994</v>
          </cell>
          <cell r="F463" t="str">
            <v>DBU</v>
          </cell>
        </row>
        <row r="464">
          <cell r="E464">
            <v>39994</v>
          </cell>
          <cell r="F464" t="str">
            <v>DBU</v>
          </cell>
        </row>
        <row r="465">
          <cell r="E465">
            <v>39994</v>
          </cell>
          <cell r="F465" t="str">
            <v>DBU</v>
          </cell>
        </row>
        <row r="466">
          <cell r="E466">
            <v>39994</v>
          </cell>
          <cell r="F466" t="str">
            <v>DBU</v>
          </cell>
        </row>
        <row r="467">
          <cell r="E467">
            <v>39994</v>
          </cell>
          <cell r="F467" t="str">
            <v>DBU</v>
          </cell>
        </row>
        <row r="468">
          <cell r="E468">
            <v>39994</v>
          </cell>
          <cell r="F468" t="str">
            <v>DBU</v>
          </cell>
        </row>
        <row r="469">
          <cell r="E469">
            <v>39994</v>
          </cell>
          <cell r="F469" t="str">
            <v>DBU</v>
          </cell>
        </row>
        <row r="470">
          <cell r="E470">
            <v>39994</v>
          </cell>
          <cell r="F470" t="str">
            <v>DBU</v>
          </cell>
        </row>
        <row r="471">
          <cell r="E471">
            <v>39994</v>
          </cell>
          <cell r="F471" t="str">
            <v>DBU</v>
          </cell>
        </row>
        <row r="472">
          <cell r="E472">
            <v>39994</v>
          </cell>
          <cell r="F472" t="str">
            <v>DBU</v>
          </cell>
        </row>
        <row r="473">
          <cell r="E473">
            <v>39994</v>
          </cell>
          <cell r="F473" t="str">
            <v>DBU</v>
          </cell>
        </row>
        <row r="474">
          <cell r="E474">
            <v>39994</v>
          </cell>
          <cell r="F474" t="str">
            <v>DBU</v>
          </cell>
        </row>
        <row r="475">
          <cell r="E475">
            <v>39994</v>
          </cell>
          <cell r="F475" t="str">
            <v>DBU</v>
          </cell>
        </row>
        <row r="476">
          <cell r="E476">
            <v>39994</v>
          </cell>
          <cell r="F476" t="str">
            <v>DBU</v>
          </cell>
        </row>
        <row r="477">
          <cell r="E477">
            <v>39994</v>
          </cell>
          <cell r="F477" t="str">
            <v>DBU</v>
          </cell>
        </row>
        <row r="478">
          <cell r="E478">
            <v>39994</v>
          </cell>
          <cell r="F478" t="str">
            <v>DBU</v>
          </cell>
        </row>
        <row r="479">
          <cell r="E479">
            <v>39994</v>
          </cell>
          <cell r="F479" t="str">
            <v>DBU</v>
          </cell>
        </row>
        <row r="480">
          <cell r="E480">
            <v>39994</v>
          </cell>
          <cell r="F480" t="str">
            <v>DBU</v>
          </cell>
        </row>
        <row r="481">
          <cell r="E481">
            <v>39994</v>
          </cell>
          <cell r="F481" t="str">
            <v>DBU</v>
          </cell>
        </row>
        <row r="482">
          <cell r="E482">
            <v>39994</v>
          </cell>
          <cell r="F482" t="str">
            <v>DBU</v>
          </cell>
        </row>
        <row r="483">
          <cell r="E483">
            <v>39994</v>
          </cell>
          <cell r="F483" t="str">
            <v>DBU</v>
          </cell>
        </row>
        <row r="484">
          <cell r="E484">
            <v>39994</v>
          </cell>
          <cell r="F484" t="str">
            <v>DBU</v>
          </cell>
        </row>
        <row r="485">
          <cell r="E485">
            <v>39994</v>
          </cell>
          <cell r="F485" t="str">
            <v>DBU</v>
          </cell>
        </row>
        <row r="486">
          <cell r="E486">
            <v>39994</v>
          </cell>
          <cell r="F486" t="str">
            <v>DBU</v>
          </cell>
        </row>
        <row r="487">
          <cell r="E487">
            <v>39994</v>
          </cell>
          <cell r="F487" t="str">
            <v>DBU</v>
          </cell>
        </row>
        <row r="488">
          <cell r="E488">
            <v>39994</v>
          </cell>
          <cell r="F488" t="str">
            <v>DBU</v>
          </cell>
        </row>
        <row r="489">
          <cell r="E489">
            <v>39994</v>
          </cell>
          <cell r="F489" t="str">
            <v>DBU</v>
          </cell>
        </row>
        <row r="490">
          <cell r="E490">
            <v>39994</v>
          </cell>
          <cell r="F490" t="str">
            <v>DBU</v>
          </cell>
        </row>
        <row r="491">
          <cell r="E491">
            <v>39994</v>
          </cell>
          <cell r="F491" t="str">
            <v>DBU</v>
          </cell>
        </row>
        <row r="492">
          <cell r="E492">
            <v>39994</v>
          </cell>
          <cell r="F492" t="str">
            <v>DBU</v>
          </cell>
        </row>
        <row r="493">
          <cell r="E493">
            <v>39994</v>
          </cell>
          <cell r="F493" t="str">
            <v>DBU</v>
          </cell>
        </row>
        <row r="494">
          <cell r="E494">
            <v>39994</v>
          </cell>
          <cell r="F494" t="str">
            <v>DBU</v>
          </cell>
        </row>
        <row r="495">
          <cell r="E495">
            <v>39994</v>
          </cell>
          <cell r="F495" t="str">
            <v>DBU</v>
          </cell>
        </row>
        <row r="496">
          <cell r="E496">
            <v>39994</v>
          </cell>
          <cell r="F496" t="str">
            <v>DBU</v>
          </cell>
        </row>
        <row r="497">
          <cell r="E497">
            <v>39994</v>
          </cell>
          <cell r="F497" t="str">
            <v>DBU</v>
          </cell>
        </row>
        <row r="498">
          <cell r="E498">
            <v>39994</v>
          </cell>
          <cell r="F498" t="str">
            <v>DBU</v>
          </cell>
        </row>
        <row r="499">
          <cell r="E499">
            <v>39994</v>
          </cell>
          <cell r="F499" t="str">
            <v>DBU</v>
          </cell>
        </row>
        <row r="500">
          <cell r="E500">
            <v>39994</v>
          </cell>
          <cell r="F500" t="str">
            <v>DBU</v>
          </cell>
        </row>
        <row r="501">
          <cell r="E501">
            <v>39994</v>
          </cell>
          <cell r="F501" t="str">
            <v>DBU</v>
          </cell>
        </row>
        <row r="502">
          <cell r="E502">
            <v>39994</v>
          </cell>
          <cell r="F502" t="str">
            <v>DBU</v>
          </cell>
        </row>
        <row r="503">
          <cell r="E503">
            <v>39994</v>
          </cell>
          <cell r="F503" t="str">
            <v>DBU</v>
          </cell>
        </row>
        <row r="504">
          <cell r="E504">
            <v>39994</v>
          </cell>
          <cell r="F504" t="str">
            <v>DBU</v>
          </cell>
        </row>
        <row r="505">
          <cell r="E505">
            <v>39994</v>
          </cell>
          <cell r="F505" t="str">
            <v>DBU</v>
          </cell>
        </row>
        <row r="506">
          <cell r="E506">
            <v>39994</v>
          </cell>
          <cell r="F506" t="str">
            <v>DBU</v>
          </cell>
        </row>
        <row r="507">
          <cell r="E507">
            <v>39994</v>
          </cell>
          <cell r="F507" t="str">
            <v>DBU</v>
          </cell>
        </row>
        <row r="508">
          <cell r="E508">
            <v>39994</v>
          </cell>
          <cell r="F508" t="str">
            <v>DBU</v>
          </cell>
        </row>
        <row r="509">
          <cell r="E509">
            <v>39994</v>
          </cell>
          <cell r="F509" t="str">
            <v>DBU</v>
          </cell>
        </row>
        <row r="510">
          <cell r="E510">
            <v>39994</v>
          </cell>
          <cell r="F510" t="str">
            <v>DBU</v>
          </cell>
        </row>
        <row r="511">
          <cell r="E511">
            <v>39994</v>
          </cell>
          <cell r="F511" t="str">
            <v>DBU</v>
          </cell>
        </row>
        <row r="512">
          <cell r="E512">
            <v>39994</v>
          </cell>
          <cell r="F512" t="str">
            <v>DBU</v>
          </cell>
        </row>
        <row r="513">
          <cell r="E513">
            <v>39994</v>
          </cell>
          <cell r="F513" t="str">
            <v>DBU</v>
          </cell>
        </row>
        <row r="514">
          <cell r="E514">
            <v>39994</v>
          </cell>
          <cell r="F514" t="str">
            <v>DBU</v>
          </cell>
        </row>
        <row r="515">
          <cell r="E515">
            <v>39994</v>
          </cell>
          <cell r="F515" t="str">
            <v>DBU</v>
          </cell>
        </row>
        <row r="516">
          <cell r="E516">
            <v>39994</v>
          </cell>
          <cell r="F516" t="str">
            <v>DBU</v>
          </cell>
        </row>
        <row r="517">
          <cell r="E517">
            <v>39994</v>
          </cell>
          <cell r="F517" t="str">
            <v>DBU</v>
          </cell>
        </row>
        <row r="518">
          <cell r="E518">
            <v>39994</v>
          </cell>
          <cell r="F518" t="str">
            <v>DBU</v>
          </cell>
        </row>
        <row r="519">
          <cell r="E519">
            <v>39994</v>
          </cell>
          <cell r="F519" t="str">
            <v>DBU</v>
          </cell>
        </row>
        <row r="520">
          <cell r="E520">
            <v>39994</v>
          </cell>
          <cell r="F520" t="str">
            <v>DBU</v>
          </cell>
        </row>
        <row r="521">
          <cell r="E521">
            <v>39994</v>
          </cell>
          <cell r="F521" t="str">
            <v>DBU</v>
          </cell>
        </row>
        <row r="522">
          <cell r="E522">
            <v>39994</v>
          </cell>
          <cell r="F522" t="str">
            <v>DBU</v>
          </cell>
        </row>
        <row r="523">
          <cell r="E523">
            <v>39994</v>
          </cell>
          <cell r="F523" t="str">
            <v>DBU</v>
          </cell>
        </row>
        <row r="524">
          <cell r="E524">
            <v>39994</v>
          </cell>
          <cell r="F524" t="str">
            <v>DBU</v>
          </cell>
        </row>
        <row r="525">
          <cell r="E525">
            <v>39994</v>
          </cell>
          <cell r="F525" t="str">
            <v>DBU</v>
          </cell>
        </row>
        <row r="526">
          <cell r="E526">
            <v>39994</v>
          </cell>
          <cell r="F526" t="str">
            <v>DBU</v>
          </cell>
        </row>
        <row r="527">
          <cell r="E527">
            <v>39994</v>
          </cell>
          <cell r="F527" t="str">
            <v>DBU</v>
          </cell>
        </row>
        <row r="528">
          <cell r="E528">
            <v>39994</v>
          </cell>
          <cell r="F528" t="str">
            <v>DBU</v>
          </cell>
        </row>
        <row r="529">
          <cell r="E529">
            <v>39994</v>
          </cell>
          <cell r="F529" t="str">
            <v>DBU</v>
          </cell>
        </row>
        <row r="530">
          <cell r="E530">
            <v>39994</v>
          </cell>
          <cell r="F530" t="str">
            <v>DBU</v>
          </cell>
        </row>
        <row r="531">
          <cell r="E531">
            <v>39994</v>
          </cell>
          <cell r="F531" t="str">
            <v>DBU</v>
          </cell>
        </row>
        <row r="532">
          <cell r="E532">
            <v>39994</v>
          </cell>
          <cell r="F532" t="str">
            <v>DBU</v>
          </cell>
        </row>
        <row r="533">
          <cell r="E533">
            <v>39994</v>
          </cell>
          <cell r="F533" t="str">
            <v>DBU</v>
          </cell>
        </row>
        <row r="534">
          <cell r="E534">
            <v>39994</v>
          </cell>
          <cell r="F534" t="str">
            <v>DBU</v>
          </cell>
        </row>
        <row r="535">
          <cell r="E535">
            <v>39994</v>
          </cell>
          <cell r="F535" t="str">
            <v>DBU</v>
          </cell>
        </row>
        <row r="536">
          <cell r="E536">
            <v>39994</v>
          </cell>
          <cell r="F536" t="str">
            <v>DBU</v>
          </cell>
        </row>
        <row r="537">
          <cell r="E537">
            <v>39994</v>
          </cell>
          <cell r="F537" t="str">
            <v>DBU</v>
          </cell>
        </row>
        <row r="538">
          <cell r="E538">
            <v>39994</v>
          </cell>
          <cell r="F538" t="str">
            <v>DBU</v>
          </cell>
        </row>
        <row r="539">
          <cell r="E539">
            <v>39994</v>
          </cell>
          <cell r="F539" t="str">
            <v>DBU</v>
          </cell>
        </row>
        <row r="540">
          <cell r="E540">
            <v>39994</v>
          </cell>
          <cell r="F540" t="str">
            <v>DBU</v>
          </cell>
        </row>
        <row r="541">
          <cell r="E541">
            <v>39994</v>
          </cell>
          <cell r="F541" t="str">
            <v>DBU</v>
          </cell>
        </row>
        <row r="542">
          <cell r="E542">
            <v>39994</v>
          </cell>
          <cell r="F542" t="str">
            <v>DBU</v>
          </cell>
        </row>
        <row r="543">
          <cell r="E543">
            <v>39994</v>
          </cell>
          <cell r="F543" t="str">
            <v>DBU</v>
          </cell>
        </row>
        <row r="544">
          <cell r="E544">
            <v>39994</v>
          </cell>
          <cell r="F544" t="str">
            <v>DBU</v>
          </cell>
        </row>
        <row r="545">
          <cell r="E545">
            <v>39994</v>
          </cell>
          <cell r="F545" t="str">
            <v>DBU</v>
          </cell>
        </row>
        <row r="546">
          <cell r="E546">
            <v>39994</v>
          </cell>
          <cell r="F546" t="str">
            <v>DBU</v>
          </cell>
        </row>
        <row r="547">
          <cell r="E547">
            <v>39994</v>
          </cell>
          <cell r="F547" t="str">
            <v>DBU</v>
          </cell>
        </row>
        <row r="548">
          <cell r="E548">
            <v>39994</v>
          </cell>
          <cell r="F548" t="str">
            <v>DBU</v>
          </cell>
        </row>
        <row r="549">
          <cell r="E549">
            <v>39994</v>
          </cell>
          <cell r="F549" t="str">
            <v>DBU</v>
          </cell>
        </row>
        <row r="550">
          <cell r="E550">
            <v>39994</v>
          </cell>
          <cell r="F550" t="str">
            <v>DBU</v>
          </cell>
        </row>
        <row r="551">
          <cell r="E551">
            <v>39994</v>
          </cell>
          <cell r="F551" t="str">
            <v>DBU</v>
          </cell>
        </row>
        <row r="552">
          <cell r="E552">
            <v>39994</v>
          </cell>
          <cell r="F552" t="str">
            <v>DBU</v>
          </cell>
        </row>
        <row r="553">
          <cell r="E553">
            <v>39994</v>
          </cell>
          <cell r="F553" t="str">
            <v>DBU</v>
          </cell>
        </row>
        <row r="554">
          <cell r="E554">
            <v>39994</v>
          </cell>
          <cell r="F554" t="str">
            <v>DBU</v>
          </cell>
        </row>
        <row r="555">
          <cell r="E555">
            <v>39994</v>
          </cell>
          <cell r="F555" t="str">
            <v>DBU</v>
          </cell>
        </row>
        <row r="556">
          <cell r="E556">
            <v>39994</v>
          </cell>
          <cell r="F556" t="str">
            <v>DBU</v>
          </cell>
        </row>
        <row r="557">
          <cell r="E557">
            <v>39994</v>
          </cell>
          <cell r="F557" t="str">
            <v>DBU</v>
          </cell>
        </row>
        <row r="558">
          <cell r="E558">
            <v>39994</v>
          </cell>
          <cell r="F558" t="str">
            <v>DBU</v>
          </cell>
        </row>
        <row r="559">
          <cell r="E559">
            <v>39994</v>
          </cell>
          <cell r="F559" t="str">
            <v>DBU</v>
          </cell>
        </row>
        <row r="560">
          <cell r="E560">
            <v>39994</v>
          </cell>
          <cell r="F560" t="str">
            <v>DBU</v>
          </cell>
        </row>
        <row r="561">
          <cell r="E561">
            <v>39994</v>
          </cell>
          <cell r="F561" t="str">
            <v>DBU</v>
          </cell>
        </row>
        <row r="562">
          <cell r="E562">
            <v>39994</v>
          </cell>
          <cell r="F562" t="str">
            <v>DBU</v>
          </cell>
        </row>
        <row r="563">
          <cell r="E563">
            <v>39994</v>
          </cell>
          <cell r="F563" t="str">
            <v>DBU</v>
          </cell>
        </row>
        <row r="564">
          <cell r="E564">
            <v>39994</v>
          </cell>
          <cell r="F564" t="str">
            <v>DBU</v>
          </cell>
        </row>
        <row r="565">
          <cell r="E565">
            <v>39994</v>
          </cell>
          <cell r="F565" t="str">
            <v>DBU</v>
          </cell>
        </row>
        <row r="566">
          <cell r="E566">
            <v>39994</v>
          </cell>
          <cell r="F566" t="str">
            <v>DBU</v>
          </cell>
        </row>
        <row r="567">
          <cell r="E567">
            <v>39994</v>
          </cell>
          <cell r="F567" t="str">
            <v>DBU</v>
          </cell>
        </row>
        <row r="568">
          <cell r="E568">
            <v>39994</v>
          </cell>
          <cell r="F568" t="str">
            <v>DBU</v>
          </cell>
        </row>
        <row r="569">
          <cell r="E569">
            <v>39994</v>
          </cell>
          <cell r="F569" t="str">
            <v>DBU</v>
          </cell>
        </row>
        <row r="570">
          <cell r="E570">
            <v>39994</v>
          </cell>
          <cell r="F570" t="str">
            <v>DBU</v>
          </cell>
        </row>
        <row r="571">
          <cell r="E571">
            <v>39994</v>
          </cell>
          <cell r="F571" t="str">
            <v>DBU</v>
          </cell>
        </row>
        <row r="572">
          <cell r="E572">
            <v>39994</v>
          </cell>
          <cell r="F572" t="str">
            <v>DBU</v>
          </cell>
        </row>
        <row r="573">
          <cell r="E573">
            <v>39994</v>
          </cell>
          <cell r="F573" t="str">
            <v>DBU</v>
          </cell>
        </row>
        <row r="574">
          <cell r="E574">
            <v>39994</v>
          </cell>
          <cell r="F574" t="str">
            <v>DBU</v>
          </cell>
        </row>
        <row r="575">
          <cell r="E575">
            <v>39994</v>
          </cell>
          <cell r="F575" t="str">
            <v>DBU</v>
          </cell>
        </row>
        <row r="576">
          <cell r="E576">
            <v>39994</v>
          </cell>
          <cell r="F576" t="str">
            <v>DBU</v>
          </cell>
        </row>
        <row r="577">
          <cell r="E577">
            <v>39994</v>
          </cell>
          <cell r="F577" t="str">
            <v>DBU</v>
          </cell>
        </row>
        <row r="578">
          <cell r="E578">
            <v>39994</v>
          </cell>
          <cell r="F578" t="str">
            <v>DBU</v>
          </cell>
        </row>
        <row r="579">
          <cell r="E579">
            <v>39994</v>
          </cell>
          <cell r="F579" t="str">
            <v>DBU</v>
          </cell>
        </row>
        <row r="580">
          <cell r="E580">
            <v>39994</v>
          </cell>
          <cell r="F580" t="str">
            <v>DBU</v>
          </cell>
        </row>
        <row r="581">
          <cell r="E581">
            <v>39994</v>
          </cell>
          <cell r="F581" t="str">
            <v>DBU</v>
          </cell>
        </row>
        <row r="582">
          <cell r="E582">
            <v>39994</v>
          </cell>
          <cell r="F582" t="str">
            <v>DBU</v>
          </cell>
        </row>
        <row r="583">
          <cell r="E583">
            <v>39994</v>
          </cell>
          <cell r="F583" t="str">
            <v>DBU</v>
          </cell>
        </row>
        <row r="584">
          <cell r="E584">
            <v>39994</v>
          </cell>
          <cell r="F584" t="str">
            <v>DBU</v>
          </cell>
        </row>
        <row r="585">
          <cell r="E585">
            <v>39994</v>
          </cell>
          <cell r="F585" t="str">
            <v>DBU</v>
          </cell>
        </row>
        <row r="586">
          <cell r="E586">
            <v>39994</v>
          </cell>
          <cell r="F586" t="str">
            <v>DBU</v>
          </cell>
        </row>
        <row r="587">
          <cell r="E587">
            <v>39994</v>
          </cell>
          <cell r="F587" t="str">
            <v>DBU</v>
          </cell>
        </row>
        <row r="588">
          <cell r="E588">
            <v>39994</v>
          </cell>
          <cell r="F588" t="str">
            <v>DBU</v>
          </cell>
        </row>
        <row r="589">
          <cell r="E589">
            <v>39994</v>
          </cell>
          <cell r="F589" t="str">
            <v>DBU</v>
          </cell>
        </row>
        <row r="590">
          <cell r="E590">
            <v>39994</v>
          </cell>
          <cell r="F590" t="str">
            <v>DBU</v>
          </cell>
        </row>
        <row r="591">
          <cell r="E591">
            <v>39994</v>
          </cell>
          <cell r="F591" t="str">
            <v>DBU</v>
          </cell>
        </row>
        <row r="592">
          <cell r="E592">
            <v>39994</v>
          </cell>
          <cell r="F592" t="str">
            <v>DBU</v>
          </cell>
        </row>
        <row r="593">
          <cell r="E593">
            <v>39994</v>
          </cell>
          <cell r="F593" t="str">
            <v>DBU</v>
          </cell>
        </row>
        <row r="594">
          <cell r="E594">
            <v>39994</v>
          </cell>
          <cell r="F594" t="str">
            <v>DBU</v>
          </cell>
        </row>
        <row r="595">
          <cell r="E595">
            <v>39994</v>
          </cell>
          <cell r="F595" t="str">
            <v>DBU</v>
          </cell>
        </row>
        <row r="596">
          <cell r="E596">
            <v>39994</v>
          </cell>
          <cell r="F596" t="str">
            <v>DBU</v>
          </cell>
        </row>
        <row r="597">
          <cell r="E597">
            <v>39994</v>
          </cell>
          <cell r="F597" t="str">
            <v>DBU</v>
          </cell>
        </row>
        <row r="598">
          <cell r="E598">
            <v>39994</v>
          </cell>
          <cell r="F598" t="str">
            <v>DBU</v>
          </cell>
        </row>
        <row r="599">
          <cell r="E599">
            <v>39994</v>
          </cell>
          <cell r="F599" t="str">
            <v>DBU</v>
          </cell>
        </row>
        <row r="600">
          <cell r="E600">
            <v>39994</v>
          </cell>
          <cell r="F600" t="str">
            <v>DBU</v>
          </cell>
        </row>
        <row r="601">
          <cell r="E601">
            <v>39994</v>
          </cell>
          <cell r="F601" t="str">
            <v>DBU</v>
          </cell>
        </row>
        <row r="602">
          <cell r="E602">
            <v>39994</v>
          </cell>
          <cell r="F602" t="str">
            <v>DBU</v>
          </cell>
        </row>
        <row r="603">
          <cell r="E603">
            <v>39994</v>
          </cell>
          <cell r="F603" t="str">
            <v>DBU</v>
          </cell>
        </row>
        <row r="604">
          <cell r="E604">
            <v>39994</v>
          </cell>
          <cell r="F604" t="str">
            <v>DBU</v>
          </cell>
        </row>
        <row r="605">
          <cell r="E605">
            <v>39994</v>
          </cell>
          <cell r="F605" t="str">
            <v>DBU</v>
          </cell>
        </row>
        <row r="606">
          <cell r="E606">
            <v>39994</v>
          </cell>
          <cell r="F606" t="str">
            <v>DBU</v>
          </cell>
        </row>
        <row r="607">
          <cell r="E607">
            <v>39994</v>
          </cell>
          <cell r="F607" t="str">
            <v>DBU</v>
          </cell>
        </row>
        <row r="608">
          <cell r="E608">
            <v>39994</v>
          </cell>
          <cell r="F608" t="str">
            <v>DBU</v>
          </cell>
        </row>
        <row r="609">
          <cell r="E609">
            <v>39994</v>
          </cell>
          <cell r="F609" t="str">
            <v>DBU</v>
          </cell>
        </row>
        <row r="610">
          <cell r="E610">
            <v>39994</v>
          </cell>
          <cell r="F610" t="str">
            <v>DBU</v>
          </cell>
        </row>
        <row r="611">
          <cell r="E611">
            <v>39994</v>
          </cell>
          <cell r="F611" t="str">
            <v>DBU</v>
          </cell>
        </row>
        <row r="612">
          <cell r="E612">
            <v>39994</v>
          </cell>
          <cell r="F612" t="str">
            <v>DBU</v>
          </cell>
        </row>
        <row r="613">
          <cell r="E613">
            <v>39994</v>
          </cell>
          <cell r="F613" t="str">
            <v>DBU</v>
          </cell>
        </row>
        <row r="614">
          <cell r="E614">
            <v>39994</v>
          </cell>
          <cell r="F614" t="str">
            <v>DBU</v>
          </cell>
        </row>
        <row r="615">
          <cell r="E615">
            <v>39994</v>
          </cell>
          <cell r="F615" t="str">
            <v>DBU</v>
          </cell>
        </row>
        <row r="616">
          <cell r="E616">
            <v>39994</v>
          </cell>
          <cell r="F616" t="str">
            <v>DBU</v>
          </cell>
        </row>
        <row r="617">
          <cell r="E617">
            <v>39994</v>
          </cell>
          <cell r="F617" t="str">
            <v>DBU</v>
          </cell>
        </row>
        <row r="618">
          <cell r="E618">
            <v>39994</v>
          </cell>
          <cell r="F618" t="str">
            <v>DBU</v>
          </cell>
        </row>
        <row r="619">
          <cell r="E619">
            <v>39994</v>
          </cell>
          <cell r="F619" t="str">
            <v>DBU</v>
          </cell>
        </row>
        <row r="620">
          <cell r="E620">
            <v>39994</v>
          </cell>
          <cell r="F620" t="str">
            <v>DBU</v>
          </cell>
        </row>
        <row r="621">
          <cell r="E621">
            <v>39994</v>
          </cell>
          <cell r="F621" t="str">
            <v>DBU</v>
          </cell>
        </row>
        <row r="622">
          <cell r="E622">
            <v>39994</v>
          </cell>
          <cell r="F622" t="str">
            <v>DBU</v>
          </cell>
        </row>
        <row r="623">
          <cell r="E623">
            <v>39994</v>
          </cell>
          <cell r="F623" t="str">
            <v>DBU</v>
          </cell>
        </row>
        <row r="624">
          <cell r="E624">
            <v>39994</v>
          </cell>
          <cell r="F624" t="str">
            <v>DBU</v>
          </cell>
        </row>
        <row r="625">
          <cell r="E625">
            <v>39994</v>
          </cell>
          <cell r="F625" t="str">
            <v>DBU</v>
          </cell>
        </row>
        <row r="626">
          <cell r="E626">
            <v>39994</v>
          </cell>
          <cell r="F626" t="str">
            <v>DBU</v>
          </cell>
        </row>
        <row r="627">
          <cell r="E627">
            <v>39994</v>
          </cell>
          <cell r="F627" t="str">
            <v>DBU</v>
          </cell>
        </row>
        <row r="628">
          <cell r="E628">
            <v>39994</v>
          </cell>
          <cell r="F628" t="str">
            <v>DBU</v>
          </cell>
        </row>
        <row r="629">
          <cell r="E629">
            <v>39994</v>
          </cell>
          <cell r="F629" t="str">
            <v>DBU</v>
          </cell>
        </row>
        <row r="630">
          <cell r="E630">
            <v>39994</v>
          </cell>
          <cell r="F630" t="str">
            <v>DBU</v>
          </cell>
        </row>
        <row r="631">
          <cell r="E631">
            <v>39994</v>
          </cell>
          <cell r="F631" t="str">
            <v>DBU</v>
          </cell>
        </row>
        <row r="632">
          <cell r="E632">
            <v>39994</v>
          </cell>
          <cell r="F632" t="str">
            <v>DBU</v>
          </cell>
        </row>
        <row r="633">
          <cell r="E633">
            <v>39994</v>
          </cell>
          <cell r="F633" t="str">
            <v>DBU</v>
          </cell>
        </row>
        <row r="634">
          <cell r="E634">
            <v>39994</v>
          </cell>
          <cell r="F634" t="str">
            <v>DBU</v>
          </cell>
        </row>
        <row r="635">
          <cell r="E635">
            <v>39994</v>
          </cell>
          <cell r="F635" t="str">
            <v>DBU</v>
          </cell>
        </row>
        <row r="636">
          <cell r="E636">
            <v>39994</v>
          </cell>
          <cell r="F636" t="str">
            <v>DBU</v>
          </cell>
        </row>
        <row r="637">
          <cell r="E637">
            <v>39994</v>
          </cell>
          <cell r="F637" t="str">
            <v>DBU</v>
          </cell>
        </row>
        <row r="638">
          <cell r="E638">
            <v>39994</v>
          </cell>
          <cell r="F638" t="str">
            <v>DBU</v>
          </cell>
        </row>
        <row r="639">
          <cell r="E639">
            <v>39994</v>
          </cell>
          <cell r="F639" t="str">
            <v>DBU</v>
          </cell>
        </row>
        <row r="640">
          <cell r="E640">
            <v>39994</v>
          </cell>
          <cell r="F640" t="str">
            <v>DBU</v>
          </cell>
        </row>
        <row r="641">
          <cell r="E641">
            <v>39994</v>
          </cell>
          <cell r="F641" t="str">
            <v>DBU</v>
          </cell>
        </row>
        <row r="642">
          <cell r="E642">
            <v>39994</v>
          </cell>
          <cell r="F642" t="str">
            <v>DBU</v>
          </cell>
        </row>
        <row r="643">
          <cell r="E643">
            <v>39994</v>
          </cell>
          <cell r="F643" t="str">
            <v>DBU</v>
          </cell>
        </row>
        <row r="644">
          <cell r="E644">
            <v>39994</v>
          </cell>
          <cell r="F644" t="str">
            <v>DBU</v>
          </cell>
        </row>
        <row r="645">
          <cell r="E645">
            <v>39994</v>
          </cell>
          <cell r="F645" t="str">
            <v>DBU</v>
          </cell>
        </row>
        <row r="646">
          <cell r="E646">
            <v>39994</v>
          </cell>
          <cell r="F646" t="str">
            <v>DBU</v>
          </cell>
        </row>
        <row r="647">
          <cell r="E647">
            <v>39994</v>
          </cell>
          <cell r="F647" t="str">
            <v>DBU</v>
          </cell>
        </row>
        <row r="648">
          <cell r="E648">
            <v>39994</v>
          </cell>
          <cell r="F648" t="str">
            <v>DBU</v>
          </cell>
        </row>
        <row r="649">
          <cell r="E649">
            <v>39994</v>
          </cell>
          <cell r="F649" t="str">
            <v>DBU</v>
          </cell>
        </row>
        <row r="650">
          <cell r="E650">
            <v>39994</v>
          </cell>
          <cell r="F650" t="str">
            <v>DBU</v>
          </cell>
        </row>
        <row r="651">
          <cell r="E651">
            <v>39994</v>
          </cell>
          <cell r="F651" t="str">
            <v>DBU</v>
          </cell>
        </row>
        <row r="652">
          <cell r="E652">
            <v>39994</v>
          </cell>
          <cell r="F652" t="str">
            <v>DBU</v>
          </cell>
        </row>
        <row r="653">
          <cell r="E653">
            <v>39994</v>
          </cell>
          <cell r="F653" t="str">
            <v>DBU</v>
          </cell>
        </row>
        <row r="654">
          <cell r="E654">
            <v>39994</v>
          </cell>
          <cell r="F654" t="str">
            <v>DBU</v>
          </cell>
        </row>
        <row r="655">
          <cell r="E655">
            <v>39994</v>
          </cell>
          <cell r="F655" t="str">
            <v>DBU</v>
          </cell>
        </row>
        <row r="656">
          <cell r="E656">
            <v>39994</v>
          </cell>
          <cell r="F656" t="str">
            <v>DBU</v>
          </cell>
        </row>
        <row r="657">
          <cell r="E657">
            <v>39994</v>
          </cell>
          <cell r="F657" t="str">
            <v>DBU</v>
          </cell>
        </row>
        <row r="658">
          <cell r="E658">
            <v>39994</v>
          </cell>
          <cell r="F658" t="str">
            <v>DBU</v>
          </cell>
        </row>
        <row r="659">
          <cell r="E659">
            <v>39994</v>
          </cell>
          <cell r="F659" t="str">
            <v>DBU</v>
          </cell>
        </row>
        <row r="660">
          <cell r="E660">
            <v>39994</v>
          </cell>
          <cell r="F660" t="str">
            <v>DBU</v>
          </cell>
        </row>
        <row r="661">
          <cell r="E661">
            <v>39994</v>
          </cell>
          <cell r="F661" t="str">
            <v>DBU</v>
          </cell>
        </row>
        <row r="662">
          <cell r="E662">
            <v>39994</v>
          </cell>
          <cell r="F662" t="str">
            <v>DBU</v>
          </cell>
        </row>
        <row r="663">
          <cell r="E663">
            <v>39994</v>
          </cell>
          <cell r="F663" t="str">
            <v>DBU</v>
          </cell>
        </row>
        <row r="664">
          <cell r="E664">
            <v>39994</v>
          </cell>
          <cell r="F664" t="str">
            <v>DBU</v>
          </cell>
        </row>
        <row r="665">
          <cell r="E665">
            <v>39994</v>
          </cell>
          <cell r="F665" t="str">
            <v>DBU</v>
          </cell>
        </row>
        <row r="666">
          <cell r="E666">
            <v>39994</v>
          </cell>
          <cell r="F666" t="str">
            <v>DBU</v>
          </cell>
        </row>
        <row r="667">
          <cell r="E667">
            <v>39994</v>
          </cell>
          <cell r="F667" t="str">
            <v>DBU</v>
          </cell>
        </row>
        <row r="668">
          <cell r="E668">
            <v>39994</v>
          </cell>
          <cell r="F668" t="str">
            <v>DBU</v>
          </cell>
        </row>
        <row r="669">
          <cell r="E669">
            <v>39994</v>
          </cell>
          <cell r="F669" t="str">
            <v>DBU</v>
          </cell>
        </row>
        <row r="670">
          <cell r="E670">
            <v>39994</v>
          </cell>
          <cell r="F670" t="str">
            <v>DBU</v>
          </cell>
        </row>
        <row r="671">
          <cell r="E671">
            <v>39994</v>
          </cell>
          <cell r="F671" t="str">
            <v>DBU</v>
          </cell>
        </row>
        <row r="672">
          <cell r="E672">
            <v>39994</v>
          </cell>
          <cell r="F672" t="str">
            <v>DBU</v>
          </cell>
        </row>
        <row r="673">
          <cell r="E673">
            <v>39994</v>
          </cell>
          <cell r="F673" t="str">
            <v>DBU</v>
          </cell>
        </row>
        <row r="674">
          <cell r="E674">
            <v>39994</v>
          </cell>
          <cell r="F674" t="str">
            <v>DBU</v>
          </cell>
        </row>
        <row r="675">
          <cell r="E675">
            <v>39994</v>
          </cell>
          <cell r="F675" t="str">
            <v>DBU</v>
          </cell>
        </row>
        <row r="676">
          <cell r="E676">
            <v>39994</v>
          </cell>
          <cell r="F676" t="str">
            <v>DBU</v>
          </cell>
        </row>
        <row r="677">
          <cell r="E677">
            <v>39994</v>
          </cell>
          <cell r="F677" t="str">
            <v>DBU</v>
          </cell>
        </row>
        <row r="678">
          <cell r="E678">
            <v>39994</v>
          </cell>
          <cell r="F678" t="str">
            <v>DBU</v>
          </cell>
        </row>
        <row r="679">
          <cell r="E679">
            <v>39994</v>
          </cell>
          <cell r="F679" t="str">
            <v>DBU</v>
          </cell>
        </row>
        <row r="680">
          <cell r="E680">
            <v>39994</v>
          </cell>
          <cell r="F680" t="str">
            <v>DBU</v>
          </cell>
        </row>
        <row r="681">
          <cell r="E681">
            <v>39994</v>
          </cell>
          <cell r="F681" t="str">
            <v>DBU</v>
          </cell>
        </row>
        <row r="682">
          <cell r="E682">
            <v>39994</v>
          </cell>
          <cell r="F682" t="str">
            <v>DBU</v>
          </cell>
        </row>
        <row r="683">
          <cell r="E683">
            <v>39994</v>
          </cell>
          <cell r="F683" t="str">
            <v>DBU</v>
          </cell>
        </row>
        <row r="684">
          <cell r="E684">
            <v>39994</v>
          </cell>
          <cell r="F684" t="str">
            <v>DBU</v>
          </cell>
        </row>
        <row r="685">
          <cell r="E685">
            <v>39994</v>
          </cell>
          <cell r="F685" t="str">
            <v>DBU</v>
          </cell>
        </row>
        <row r="686">
          <cell r="E686">
            <v>39994</v>
          </cell>
          <cell r="F686" t="str">
            <v>DBU</v>
          </cell>
        </row>
        <row r="687">
          <cell r="E687">
            <v>39994</v>
          </cell>
          <cell r="F687" t="str">
            <v>DBU</v>
          </cell>
        </row>
        <row r="688">
          <cell r="E688">
            <v>39994</v>
          </cell>
          <cell r="F688" t="str">
            <v>DBU</v>
          </cell>
        </row>
        <row r="689">
          <cell r="E689">
            <v>39994</v>
          </cell>
          <cell r="F689" t="str">
            <v>DBU</v>
          </cell>
        </row>
        <row r="690">
          <cell r="E690">
            <v>39994</v>
          </cell>
          <cell r="F690" t="str">
            <v>DBU</v>
          </cell>
        </row>
        <row r="691">
          <cell r="E691">
            <v>39994</v>
          </cell>
          <cell r="F691" t="str">
            <v>DBU</v>
          </cell>
        </row>
        <row r="692">
          <cell r="E692">
            <v>39994</v>
          </cell>
          <cell r="F692" t="str">
            <v>DBU</v>
          </cell>
        </row>
        <row r="693">
          <cell r="E693">
            <v>39994</v>
          </cell>
          <cell r="F693" t="str">
            <v>DBU</v>
          </cell>
        </row>
        <row r="694">
          <cell r="E694">
            <v>39994</v>
          </cell>
          <cell r="F694" t="str">
            <v>DBU</v>
          </cell>
        </row>
        <row r="695">
          <cell r="E695">
            <v>39994</v>
          </cell>
          <cell r="F695" t="str">
            <v>DBU</v>
          </cell>
        </row>
        <row r="696">
          <cell r="E696">
            <v>39994</v>
          </cell>
          <cell r="F696" t="str">
            <v>DBU</v>
          </cell>
        </row>
        <row r="697">
          <cell r="E697">
            <v>39994</v>
          </cell>
          <cell r="F697" t="str">
            <v>DBU</v>
          </cell>
        </row>
        <row r="698">
          <cell r="E698">
            <v>39994</v>
          </cell>
          <cell r="F698" t="str">
            <v>DBU</v>
          </cell>
        </row>
        <row r="699">
          <cell r="E699">
            <v>39994</v>
          </cell>
          <cell r="F699" t="str">
            <v>DBU</v>
          </cell>
        </row>
        <row r="700">
          <cell r="E700">
            <v>39994</v>
          </cell>
          <cell r="F700" t="str">
            <v>DBU</v>
          </cell>
        </row>
        <row r="701">
          <cell r="E701">
            <v>39994</v>
          </cell>
          <cell r="F701" t="str">
            <v>DBU</v>
          </cell>
        </row>
        <row r="702">
          <cell r="E702">
            <v>39994</v>
          </cell>
          <cell r="F702" t="str">
            <v>DBU</v>
          </cell>
        </row>
        <row r="703">
          <cell r="E703">
            <v>39994</v>
          </cell>
          <cell r="F703" t="str">
            <v>DBU</v>
          </cell>
        </row>
        <row r="704">
          <cell r="E704">
            <v>39994</v>
          </cell>
          <cell r="F704" t="str">
            <v>DBU</v>
          </cell>
        </row>
        <row r="705">
          <cell r="E705">
            <v>39994</v>
          </cell>
          <cell r="F705" t="str">
            <v>DBU</v>
          </cell>
        </row>
        <row r="706">
          <cell r="E706">
            <v>39994</v>
          </cell>
          <cell r="F706" t="str">
            <v>DBU</v>
          </cell>
        </row>
        <row r="707">
          <cell r="E707">
            <v>39994</v>
          </cell>
          <cell r="F707" t="str">
            <v>DBU</v>
          </cell>
        </row>
        <row r="708">
          <cell r="E708">
            <v>39994</v>
          </cell>
          <cell r="F708" t="str">
            <v>DBU</v>
          </cell>
        </row>
        <row r="709">
          <cell r="E709">
            <v>39994</v>
          </cell>
          <cell r="F709" t="str">
            <v>DBU</v>
          </cell>
        </row>
        <row r="710">
          <cell r="E710">
            <v>39994</v>
          </cell>
          <cell r="F710" t="str">
            <v>DBU</v>
          </cell>
        </row>
        <row r="711">
          <cell r="E711">
            <v>39994</v>
          </cell>
          <cell r="F711" t="str">
            <v>DBU</v>
          </cell>
        </row>
        <row r="712">
          <cell r="E712">
            <v>39994</v>
          </cell>
          <cell r="F712" t="str">
            <v>DBU</v>
          </cell>
        </row>
        <row r="713">
          <cell r="E713">
            <v>39994</v>
          </cell>
          <cell r="F713" t="str">
            <v>DBU</v>
          </cell>
        </row>
        <row r="714">
          <cell r="E714">
            <v>39994</v>
          </cell>
          <cell r="F714" t="str">
            <v>DBU</v>
          </cell>
        </row>
        <row r="715">
          <cell r="E715">
            <v>39994</v>
          </cell>
          <cell r="F715" t="str">
            <v>DBU</v>
          </cell>
        </row>
        <row r="716">
          <cell r="E716">
            <v>39994</v>
          </cell>
          <cell r="F716" t="str">
            <v>DBU</v>
          </cell>
        </row>
        <row r="717">
          <cell r="E717">
            <v>39994</v>
          </cell>
          <cell r="F717" t="str">
            <v>DBU</v>
          </cell>
        </row>
        <row r="718">
          <cell r="E718">
            <v>39994</v>
          </cell>
          <cell r="F718" t="str">
            <v>DBU</v>
          </cell>
        </row>
        <row r="719">
          <cell r="E719">
            <v>39994</v>
          </cell>
          <cell r="F719" t="str">
            <v>DBU</v>
          </cell>
        </row>
        <row r="720">
          <cell r="E720">
            <v>39994</v>
          </cell>
          <cell r="F720" t="str">
            <v>DBU</v>
          </cell>
        </row>
        <row r="721">
          <cell r="E721">
            <v>39994</v>
          </cell>
          <cell r="F721" t="str">
            <v>DBU</v>
          </cell>
        </row>
        <row r="722">
          <cell r="E722">
            <v>39994</v>
          </cell>
          <cell r="F722" t="str">
            <v>DBU</v>
          </cell>
        </row>
        <row r="723">
          <cell r="E723">
            <v>39994</v>
          </cell>
          <cell r="F723" t="str">
            <v>DBU</v>
          </cell>
        </row>
        <row r="724">
          <cell r="E724">
            <v>39994</v>
          </cell>
          <cell r="F724" t="str">
            <v>DBU</v>
          </cell>
        </row>
        <row r="725">
          <cell r="E725">
            <v>39994</v>
          </cell>
          <cell r="F725" t="str">
            <v>DBU</v>
          </cell>
        </row>
        <row r="726">
          <cell r="E726">
            <v>39994</v>
          </cell>
          <cell r="F726" t="str">
            <v>DBU</v>
          </cell>
        </row>
        <row r="727">
          <cell r="E727">
            <v>39994</v>
          </cell>
          <cell r="F727" t="str">
            <v>DBU</v>
          </cell>
        </row>
        <row r="728">
          <cell r="E728">
            <v>39994</v>
          </cell>
          <cell r="F728" t="str">
            <v>DBU</v>
          </cell>
        </row>
        <row r="729">
          <cell r="E729">
            <v>39994</v>
          </cell>
          <cell r="F729" t="str">
            <v>DBU</v>
          </cell>
        </row>
        <row r="730">
          <cell r="E730">
            <v>39994</v>
          </cell>
          <cell r="F730" t="str">
            <v>DBU</v>
          </cell>
        </row>
        <row r="731">
          <cell r="E731">
            <v>39994</v>
          </cell>
          <cell r="F731" t="str">
            <v>DBU</v>
          </cell>
        </row>
        <row r="732">
          <cell r="E732">
            <v>39994</v>
          </cell>
          <cell r="F732" t="str">
            <v>DBU</v>
          </cell>
        </row>
        <row r="733">
          <cell r="E733">
            <v>39994</v>
          </cell>
          <cell r="F733" t="str">
            <v>DBU</v>
          </cell>
        </row>
        <row r="734">
          <cell r="E734">
            <v>39994</v>
          </cell>
          <cell r="F734" t="str">
            <v>DBU</v>
          </cell>
        </row>
        <row r="735">
          <cell r="E735">
            <v>39994</v>
          </cell>
          <cell r="F735" t="str">
            <v>DBU</v>
          </cell>
        </row>
        <row r="736">
          <cell r="E736">
            <v>39994</v>
          </cell>
          <cell r="F736" t="str">
            <v>DBU</v>
          </cell>
        </row>
        <row r="737">
          <cell r="E737">
            <v>39994</v>
          </cell>
          <cell r="F737" t="str">
            <v>DBU</v>
          </cell>
        </row>
        <row r="738">
          <cell r="E738">
            <v>39994</v>
          </cell>
          <cell r="F738" t="str">
            <v>DBU</v>
          </cell>
        </row>
        <row r="739">
          <cell r="E739">
            <v>39994</v>
          </cell>
          <cell r="F739" t="str">
            <v>DBU</v>
          </cell>
        </row>
        <row r="740">
          <cell r="E740">
            <v>39994</v>
          </cell>
          <cell r="F740" t="str">
            <v>DBU</v>
          </cell>
        </row>
        <row r="741">
          <cell r="E741">
            <v>39994</v>
          </cell>
          <cell r="F741" t="str">
            <v>DBU</v>
          </cell>
        </row>
        <row r="742">
          <cell r="E742">
            <v>39994</v>
          </cell>
          <cell r="F742" t="str">
            <v>DBU</v>
          </cell>
        </row>
        <row r="743">
          <cell r="E743">
            <v>39994</v>
          </cell>
          <cell r="F743" t="str">
            <v>DBU</v>
          </cell>
        </row>
        <row r="744">
          <cell r="E744">
            <v>39994</v>
          </cell>
          <cell r="F744" t="str">
            <v>DBU</v>
          </cell>
        </row>
        <row r="745">
          <cell r="E745">
            <v>39994</v>
          </cell>
          <cell r="F745" t="str">
            <v>DBU</v>
          </cell>
        </row>
        <row r="746">
          <cell r="E746">
            <v>39994</v>
          </cell>
          <cell r="F746" t="str">
            <v>DBU</v>
          </cell>
        </row>
        <row r="747">
          <cell r="E747">
            <v>39994</v>
          </cell>
          <cell r="F747" t="str">
            <v>DBU</v>
          </cell>
        </row>
        <row r="748">
          <cell r="E748">
            <v>39994</v>
          </cell>
          <cell r="F748" t="str">
            <v>DBU</v>
          </cell>
        </row>
        <row r="749">
          <cell r="E749">
            <v>39994</v>
          </cell>
          <cell r="F749" t="str">
            <v>DBU</v>
          </cell>
        </row>
        <row r="750">
          <cell r="E750">
            <v>39994</v>
          </cell>
          <cell r="F750" t="str">
            <v>DBU</v>
          </cell>
        </row>
        <row r="751">
          <cell r="E751">
            <v>39994</v>
          </cell>
          <cell r="F751" t="str">
            <v>DBU</v>
          </cell>
        </row>
        <row r="752">
          <cell r="E752">
            <v>39994</v>
          </cell>
          <cell r="F752" t="str">
            <v>DBU</v>
          </cell>
        </row>
        <row r="753">
          <cell r="E753">
            <v>39994</v>
          </cell>
          <cell r="F753" t="str">
            <v>DBU</v>
          </cell>
        </row>
        <row r="754">
          <cell r="E754">
            <v>39994</v>
          </cell>
          <cell r="F754" t="str">
            <v>DBU</v>
          </cell>
        </row>
        <row r="755">
          <cell r="E755">
            <v>39994</v>
          </cell>
          <cell r="F755" t="str">
            <v>DBU</v>
          </cell>
        </row>
        <row r="756">
          <cell r="E756">
            <v>39994</v>
          </cell>
          <cell r="F756" t="str">
            <v>DBU</v>
          </cell>
        </row>
        <row r="757">
          <cell r="E757">
            <v>39994</v>
          </cell>
          <cell r="F757" t="str">
            <v>DBU</v>
          </cell>
        </row>
        <row r="758">
          <cell r="E758">
            <v>39994</v>
          </cell>
          <cell r="F758" t="str">
            <v>DBU</v>
          </cell>
        </row>
        <row r="759">
          <cell r="E759">
            <v>39994</v>
          </cell>
          <cell r="F759" t="str">
            <v>DBU</v>
          </cell>
        </row>
        <row r="760">
          <cell r="E760">
            <v>39994</v>
          </cell>
          <cell r="F760" t="str">
            <v>DBU</v>
          </cell>
        </row>
        <row r="761">
          <cell r="E761">
            <v>39994</v>
          </cell>
          <cell r="F761" t="str">
            <v>DBU</v>
          </cell>
        </row>
        <row r="762">
          <cell r="E762">
            <v>39994</v>
          </cell>
          <cell r="F762" t="str">
            <v>DBU</v>
          </cell>
        </row>
        <row r="763">
          <cell r="E763">
            <v>39994</v>
          </cell>
          <cell r="F763" t="str">
            <v>DBU</v>
          </cell>
        </row>
        <row r="764">
          <cell r="E764">
            <v>39994</v>
          </cell>
          <cell r="F764" t="str">
            <v>DBU</v>
          </cell>
        </row>
        <row r="765">
          <cell r="E765">
            <v>39994</v>
          </cell>
          <cell r="F765" t="str">
            <v>DBU</v>
          </cell>
        </row>
        <row r="766">
          <cell r="E766">
            <v>39994</v>
          </cell>
          <cell r="F766" t="str">
            <v>DBU</v>
          </cell>
        </row>
        <row r="767">
          <cell r="E767">
            <v>39994</v>
          </cell>
          <cell r="F767" t="str">
            <v>DBU</v>
          </cell>
        </row>
        <row r="768">
          <cell r="E768">
            <v>39994</v>
          </cell>
          <cell r="F768" t="str">
            <v>DBU</v>
          </cell>
        </row>
        <row r="769">
          <cell r="E769">
            <v>39994</v>
          </cell>
          <cell r="F769" t="str">
            <v>DBU</v>
          </cell>
        </row>
        <row r="770">
          <cell r="E770">
            <v>39994</v>
          </cell>
          <cell r="F770" t="str">
            <v>DBU</v>
          </cell>
        </row>
        <row r="771">
          <cell r="E771">
            <v>39994</v>
          </cell>
          <cell r="F771" t="str">
            <v>DBU</v>
          </cell>
        </row>
        <row r="772">
          <cell r="E772">
            <v>39994</v>
          </cell>
          <cell r="F772" t="str">
            <v>DBU</v>
          </cell>
        </row>
        <row r="773">
          <cell r="E773">
            <v>39994</v>
          </cell>
          <cell r="F773" t="str">
            <v>DBU</v>
          </cell>
        </row>
        <row r="774">
          <cell r="E774">
            <v>39994</v>
          </cell>
          <cell r="F774" t="str">
            <v>DBU</v>
          </cell>
        </row>
        <row r="775">
          <cell r="E775">
            <v>39994</v>
          </cell>
          <cell r="F775" t="str">
            <v>DBU</v>
          </cell>
        </row>
        <row r="776">
          <cell r="E776">
            <v>39994</v>
          </cell>
          <cell r="F776" t="str">
            <v>DBU</v>
          </cell>
        </row>
        <row r="777">
          <cell r="E777">
            <v>39994</v>
          </cell>
          <cell r="F777" t="str">
            <v>DBU</v>
          </cell>
        </row>
        <row r="778">
          <cell r="E778">
            <v>39994</v>
          </cell>
          <cell r="F778" t="str">
            <v>DBU</v>
          </cell>
        </row>
        <row r="779">
          <cell r="E779">
            <v>39994</v>
          </cell>
          <cell r="F779" t="str">
            <v>DBU</v>
          </cell>
        </row>
        <row r="780">
          <cell r="E780">
            <v>39994</v>
          </cell>
          <cell r="F780" t="str">
            <v>DBU</v>
          </cell>
        </row>
        <row r="781">
          <cell r="E781">
            <v>39994</v>
          </cell>
          <cell r="F781" t="str">
            <v>DBU</v>
          </cell>
        </row>
        <row r="782">
          <cell r="E782">
            <v>39994</v>
          </cell>
          <cell r="F782" t="str">
            <v>DBU</v>
          </cell>
        </row>
        <row r="783">
          <cell r="E783">
            <v>39994</v>
          </cell>
          <cell r="F783" t="str">
            <v>DBU</v>
          </cell>
        </row>
        <row r="784">
          <cell r="E784">
            <v>39994</v>
          </cell>
          <cell r="F784" t="str">
            <v>DBU</v>
          </cell>
        </row>
        <row r="785">
          <cell r="E785">
            <v>39994</v>
          </cell>
          <cell r="F785" t="str">
            <v>DBU</v>
          </cell>
        </row>
        <row r="786">
          <cell r="E786">
            <v>39994</v>
          </cell>
          <cell r="F786" t="str">
            <v>DBU</v>
          </cell>
        </row>
        <row r="787">
          <cell r="E787">
            <v>39994</v>
          </cell>
          <cell r="F787" t="str">
            <v>DBU</v>
          </cell>
        </row>
        <row r="788">
          <cell r="E788">
            <v>39994</v>
          </cell>
          <cell r="F788" t="str">
            <v>DBU</v>
          </cell>
        </row>
        <row r="789">
          <cell r="E789">
            <v>39994</v>
          </cell>
          <cell r="F789" t="str">
            <v>DBU</v>
          </cell>
        </row>
        <row r="790">
          <cell r="E790">
            <v>39994</v>
          </cell>
          <cell r="F790" t="str">
            <v>DBU</v>
          </cell>
        </row>
        <row r="791">
          <cell r="E791">
            <v>39994</v>
          </cell>
          <cell r="F791" t="str">
            <v>DBU</v>
          </cell>
        </row>
        <row r="792">
          <cell r="E792">
            <v>39994</v>
          </cell>
          <cell r="F792" t="str">
            <v>DBU</v>
          </cell>
        </row>
        <row r="793">
          <cell r="E793">
            <v>39994</v>
          </cell>
          <cell r="F793" t="str">
            <v>DBU</v>
          </cell>
        </row>
        <row r="794">
          <cell r="E794">
            <v>39994</v>
          </cell>
          <cell r="F794" t="str">
            <v>DBU</v>
          </cell>
        </row>
        <row r="795">
          <cell r="E795">
            <v>39994</v>
          </cell>
          <cell r="F795" t="str">
            <v>DBU</v>
          </cell>
        </row>
        <row r="796">
          <cell r="E796">
            <v>39994</v>
          </cell>
          <cell r="F796" t="str">
            <v>DBU</v>
          </cell>
        </row>
        <row r="797">
          <cell r="E797">
            <v>39994</v>
          </cell>
          <cell r="F797" t="str">
            <v>DBU</v>
          </cell>
        </row>
        <row r="798">
          <cell r="E798">
            <v>39994</v>
          </cell>
          <cell r="F798" t="str">
            <v>DBU</v>
          </cell>
        </row>
        <row r="799">
          <cell r="E799">
            <v>39994</v>
          </cell>
          <cell r="F799" t="str">
            <v>DBU</v>
          </cell>
        </row>
        <row r="800">
          <cell r="E800">
            <v>39994</v>
          </cell>
          <cell r="F800" t="str">
            <v>DBU</v>
          </cell>
        </row>
        <row r="801">
          <cell r="E801">
            <v>39994</v>
          </cell>
          <cell r="F801" t="str">
            <v>DBU</v>
          </cell>
        </row>
        <row r="802">
          <cell r="E802">
            <v>39994</v>
          </cell>
          <cell r="F802" t="str">
            <v>DBU</v>
          </cell>
        </row>
        <row r="803">
          <cell r="E803">
            <v>39994</v>
          </cell>
          <cell r="F803" t="str">
            <v>DBU</v>
          </cell>
        </row>
        <row r="804">
          <cell r="E804">
            <v>39994</v>
          </cell>
          <cell r="F804" t="str">
            <v>DBU</v>
          </cell>
        </row>
        <row r="805">
          <cell r="E805">
            <v>39994</v>
          </cell>
          <cell r="F805" t="str">
            <v>DBU</v>
          </cell>
        </row>
        <row r="806">
          <cell r="E806">
            <v>39994</v>
          </cell>
          <cell r="F806" t="str">
            <v>DBU</v>
          </cell>
        </row>
        <row r="807">
          <cell r="E807">
            <v>39994</v>
          </cell>
          <cell r="F807" t="str">
            <v>DBU</v>
          </cell>
        </row>
        <row r="808">
          <cell r="E808">
            <v>39994</v>
          </cell>
          <cell r="F808" t="str">
            <v>DBU</v>
          </cell>
        </row>
        <row r="809">
          <cell r="E809">
            <v>39994</v>
          </cell>
          <cell r="F809" t="str">
            <v>DBU</v>
          </cell>
        </row>
        <row r="810">
          <cell r="E810">
            <v>39994</v>
          </cell>
          <cell r="F810" t="str">
            <v>DBU</v>
          </cell>
        </row>
        <row r="811">
          <cell r="E811">
            <v>39994</v>
          </cell>
          <cell r="F811" t="str">
            <v>DBU</v>
          </cell>
        </row>
        <row r="812">
          <cell r="E812">
            <v>39994</v>
          </cell>
          <cell r="F812" t="str">
            <v>DBU</v>
          </cell>
        </row>
        <row r="813">
          <cell r="E813">
            <v>39994</v>
          </cell>
          <cell r="F813" t="str">
            <v>DBU</v>
          </cell>
        </row>
        <row r="814">
          <cell r="E814">
            <v>39994</v>
          </cell>
          <cell r="F814" t="str">
            <v>DBU</v>
          </cell>
        </row>
        <row r="815">
          <cell r="E815">
            <v>39994</v>
          </cell>
          <cell r="F815" t="str">
            <v>DBU</v>
          </cell>
        </row>
        <row r="816">
          <cell r="E816">
            <v>39994</v>
          </cell>
          <cell r="F816" t="str">
            <v>DBU</v>
          </cell>
        </row>
        <row r="817">
          <cell r="E817">
            <v>39994</v>
          </cell>
          <cell r="F817" t="str">
            <v>DBU</v>
          </cell>
        </row>
        <row r="818">
          <cell r="E818">
            <v>39994</v>
          </cell>
          <cell r="F818" t="str">
            <v>DBU</v>
          </cell>
        </row>
        <row r="819">
          <cell r="E819">
            <v>39994</v>
          </cell>
          <cell r="F819" t="str">
            <v>DBU</v>
          </cell>
        </row>
        <row r="820">
          <cell r="E820">
            <v>39994</v>
          </cell>
          <cell r="F820" t="str">
            <v>DBU</v>
          </cell>
        </row>
        <row r="821">
          <cell r="E821">
            <v>39994</v>
          </cell>
          <cell r="F821" t="str">
            <v>DBU</v>
          </cell>
        </row>
        <row r="822">
          <cell r="E822">
            <v>39994</v>
          </cell>
          <cell r="F822" t="str">
            <v>DBU</v>
          </cell>
        </row>
        <row r="823">
          <cell r="E823">
            <v>39994</v>
          </cell>
          <cell r="F823" t="str">
            <v>DBU</v>
          </cell>
        </row>
        <row r="824">
          <cell r="E824">
            <v>39994</v>
          </cell>
          <cell r="F824" t="str">
            <v>DBU</v>
          </cell>
        </row>
        <row r="825">
          <cell r="E825">
            <v>39994</v>
          </cell>
          <cell r="F825" t="str">
            <v>DBU</v>
          </cell>
        </row>
        <row r="826">
          <cell r="E826">
            <v>39994</v>
          </cell>
          <cell r="F826" t="str">
            <v>DBU</v>
          </cell>
        </row>
        <row r="827">
          <cell r="E827">
            <v>39994</v>
          </cell>
          <cell r="F827" t="str">
            <v>DBU</v>
          </cell>
        </row>
        <row r="828">
          <cell r="E828">
            <v>39994</v>
          </cell>
          <cell r="F828" t="str">
            <v>DBU</v>
          </cell>
        </row>
        <row r="829">
          <cell r="E829">
            <v>39994</v>
          </cell>
          <cell r="F829" t="str">
            <v>DBU</v>
          </cell>
        </row>
        <row r="830">
          <cell r="E830">
            <v>39994</v>
          </cell>
          <cell r="F830" t="str">
            <v>DBU</v>
          </cell>
        </row>
        <row r="831">
          <cell r="E831">
            <v>39994</v>
          </cell>
          <cell r="F831" t="str">
            <v>DBU</v>
          </cell>
        </row>
        <row r="832">
          <cell r="E832">
            <v>39994</v>
          </cell>
          <cell r="F832" t="str">
            <v>DBU</v>
          </cell>
        </row>
        <row r="833">
          <cell r="E833">
            <v>39994</v>
          </cell>
          <cell r="F833" t="str">
            <v>DBU</v>
          </cell>
        </row>
        <row r="834">
          <cell r="E834">
            <v>39994</v>
          </cell>
          <cell r="F834" t="str">
            <v>DBU</v>
          </cell>
        </row>
        <row r="835">
          <cell r="E835">
            <v>39994</v>
          </cell>
          <cell r="F835" t="str">
            <v>DBU</v>
          </cell>
        </row>
        <row r="836">
          <cell r="E836">
            <v>39994</v>
          </cell>
          <cell r="F836" t="str">
            <v>DBU</v>
          </cell>
        </row>
        <row r="837">
          <cell r="E837">
            <v>39994</v>
          </cell>
          <cell r="F837" t="str">
            <v>DBU</v>
          </cell>
        </row>
        <row r="838">
          <cell r="E838">
            <v>39994</v>
          </cell>
          <cell r="F838" t="str">
            <v>DBU</v>
          </cell>
        </row>
        <row r="839">
          <cell r="E839">
            <v>39994</v>
          </cell>
          <cell r="F839" t="str">
            <v>DBU</v>
          </cell>
        </row>
        <row r="840">
          <cell r="E840">
            <v>39994</v>
          </cell>
          <cell r="F840" t="str">
            <v>DBU</v>
          </cell>
        </row>
        <row r="841">
          <cell r="E841">
            <v>39994</v>
          </cell>
          <cell r="F841" t="str">
            <v>DBU</v>
          </cell>
        </row>
        <row r="842">
          <cell r="E842">
            <v>39994</v>
          </cell>
          <cell r="F842" t="str">
            <v>DBU</v>
          </cell>
        </row>
        <row r="843">
          <cell r="E843">
            <v>39994</v>
          </cell>
          <cell r="F843" t="str">
            <v>DBU</v>
          </cell>
        </row>
        <row r="844">
          <cell r="E844">
            <v>39994</v>
          </cell>
          <cell r="F844" t="str">
            <v>DBU</v>
          </cell>
        </row>
        <row r="845">
          <cell r="E845">
            <v>39994</v>
          </cell>
          <cell r="F845" t="str">
            <v>DBU</v>
          </cell>
        </row>
        <row r="846">
          <cell r="E846">
            <v>39994</v>
          </cell>
          <cell r="F846" t="str">
            <v>DBU</v>
          </cell>
        </row>
        <row r="847">
          <cell r="E847">
            <v>39994</v>
          </cell>
          <cell r="F847" t="str">
            <v>DBU</v>
          </cell>
        </row>
        <row r="848">
          <cell r="E848">
            <v>39994</v>
          </cell>
          <cell r="F848" t="str">
            <v>DBU</v>
          </cell>
        </row>
        <row r="849">
          <cell r="E849">
            <v>39994</v>
          </cell>
          <cell r="F849" t="str">
            <v>DBU</v>
          </cell>
        </row>
        <row r="850">
          <cell r="E850">
            <v>39994</v>
          </cell>
          <cell r="F850" t="str">
            <v>DBU</v>
          </cell>
        </row>
        <row r="851">
          <cell r="E851">
            <v>39994</v>
          </cell>
          <cell r="F851" t="str">
            <v>DBU</v>
          </cell>
        </row>
        <row r="852">
          <cell r="E852">
            <v>39994</v>
          </cell>
          <cell r="F852" t="str">
            <v>DBU</v>
          </cell>
        </row>
        <row r="853">
          <cell r="E853">
            <v>39994</v>
          </cell>
          <cell r="F853" t="str">
            <v>DBU</v>
          </cell>
        </row>
        <row r="854">
          <cell r="E854">
            <v>39994</v>
          </cell>
          <cell r="F854" t="str">
            <v>DBU</v>
          </cell>
        </row>
        <row r="855">
          <cell r="E855">
            <v>39994</v>
          </cell>
          <cell r="F855" t="str">
            <v>DBU</v>
          </cell>
        </row>
        <row r="856">
          <cell r="E856">
            <v>39994</v>
          </cell>
          <cell r="F856" t="str">
            <v>DBU</v>
          </cell>
        </row>
        <row r="857">
          <cell r="E857">
            <v>39994</v>
          </cell>
          <cell r="F857" t="str">
            <v>DBU</v>
          </cell>
        </row>
        <row r="858">
          <cell r="E858">
            <v>39994</v>
          </cell>
          <cell r="F858" t="str">
            <v>DBU</v>
          </cell>
        </row>
        <row r="859">
          <cell r="E859">
            <v>39994</v>
          </cell>
          <cell r="F859" t="str">
            <v>DBU</v>
          </cell>
        </row>
        <row r="860">
          <cell r="E860">
            <v>39994</v>
          </cell>
          <cell r="F860" t="str">
            <v>DBU</v>
          </cell>
        </row>
        <row r="861">
          <cell r="E861">
            <v>39994</v>
          </cell>
          <cell r="F861" t="str">
            <v>DBU</v>
          </cell>
        </row>
        <row r="862">
          <cell r="E862">
            <v>39994</v>
          </cell>
          <cell r="F862" t="str">
            <v>DBU</v>
          </cell>
        </row>
        <row r="863">
          <cell r="E863">
            <v>39994</v>
          </cell>
          <cell r="F863" t="str">
            <v>DBU</v>
          </cell>
        </row>
        <row r="864">
          <cell r="E864">
            <v>39994</v>
          </cell>
          <cell r="F864" t="str">
            <v>DBU</v>
          </cell>
        </row>
        <row r="865">
          <cell r="E865">
            <v>39994</v>
          </cell>
          <cell r="F865" t="str">
            <v>DBU</v>
          </cell>
        </row>
        <row r="866">
          <cell r="E866">
            <v>39994</v>
          </cell>
          <cell r="F866" t="str">
            <v>DBU</v>
          </cell>
        </row>
        <row r="867">
          <cell r="E867">
            <v>39994</v>
          </cell>
          <cell r="F867" t="str">
            <v>DBU</v>
          </cell>
        </row>
        <row r="868">
          <cell r="E868">
            <v>39994</v>
          </cell>
          <cell r="F868" t="str">
            <v>DBU</v>
          </cell>
        </row>
        <row r="869">
          <cell r="E869">
            <v>39994</v>
          </cell>
          <cell r="F869" t="str">
            <v>DBU</v>
          </cell>
        </row>
        <row r="870">
          <cell r="E870">
            <v>39994</v>
          </cell>
          <cell r="F870" t="str">
            <v>DBU</v>
          </cell>
        </row>
        <row r="871">
          <cell r="E871">
            <v>39994</v>
          </cell>
          <cell r="F871" t="str">
            <v>DBU</v>
          </cell>
        </row>
        <row r="872">
          <cell r="E872">
            <v>39994</v>
          </cell>
          <cell r="F872" t="str">
            <v>DBU</v>
          </cell>
        </row>
        <row r="873">
          <cell r="E873">
            <v>39994</v>
          </cell>
          <cell r="F873" t="str">
            <v>DBU</v>
          </cell>
        </row>
        <row r="874">
          <cell r="E874">
            <v>39994</v>
          </cell>
          <cell r="F874" t="str">
            <v>DBU</v>
          </cell>
        </row>
        <row r="875">
          <cell r="E875">
            <v>39994</v>
          </cell>
          <cell r="F875" t="str">
            <v>DBU</v>
          </cell>
        </row>
        <row r="876">
          <cell r="E876">
            <v>39994</v>
          </cell>
          <cell r="F876" t="str">
            <v>DBU</v>
          </cell>
        </row>
        <row r="877">
          <cell r="E877">
            <v>39994</v>
          </cell>
          <cell r="F877" t="str">
            <v>DBU</v>
          </cell>
        </row>
        <row r="878">
          <cell r="E878">
            <v>39994</v>
          </cell>
          <cell r="F878" t="str">
            <v>DBU</v>
          </cell>
        </row>
        <row r="879">
          <cell r="E879">
            <v>39994</v>
          </cell>
          <cell r="F879" t="str">
            <v>DBU</v>
          </cell>
        </row>
        <row r="880">
          <cell r="E880">
            <v>39994</v>
          </cell>
          <cell r="F880" t="str">
            <v>DBU</v>
          </cell>
        </row>
        <row r="881">
          <cell r="E881">
            <v>39994</v>
          </cell>
          <cell r="F881" t="str">
            <v>DBU</v>
          </cell>
        </row>
        <row r="882">
          <cell r="E882">
            <v>39994</v>
          </cell>
          <cell r="F882" t="str">
            <v>DBU</v>
          </cell>
        </row>
        <row r="883">
          <cell r="E883">
            <v>39994</v>
          </cell>
          <cell r="F883" t="str">
            <v>DBU</v>
          </cell>
        </row>
        <row r="884">
          <cell r="E884">
            <v>39994</v>
          </cell>
          <cell r="F884" t="str">
            <v>DBU</v>
          </cell>
        </row>
        <row r="885">
          <cell r="E885">
            <v>39994</v>
          </cell>
          <cell r="F885" t="str">
            <v>DBU</v>
          </cell>
        </row>
        <row r="886">
          <cell r="E886">
            <v>39994</v>
          </cell>
          <cell r="F886" t="str">
            <v>DBU</v>
          </cell>
        </row>
        <row r="887">
          <cell r="E887">
            <v>39994</v>
          </cell>
          <cell r="F887" t="str">
            <v>DBU</v>
          </cell>
        </row>
        <row r="888">
          <cell r="E888">
            <v>39994</v>
          </cell>
          <cell r="F888" t="str">
            <v>DBU</v>
          </cell>
        </row>
        <row r="889">
          <cell r="E889">
            <v>39994</v>
          </cell>
          <cell r="F889" t="str">
            <v>DBU</v>
          </cell>
        </row>
        <row r="890">
          <cell r="E890">
            <v>39994</v>
          </cell>
          <cell r="F890" t="str">
            <v>DBU</v>
          </cell>
        </row>
        <row r="891">
          <cell r="E891">
            <v>39994</v>
          </cell>
          <cell r="F891" t="str">
            <v>DBU</v>
          </cell>
        </row>
        <row r="892">
          <cell r="E892">
            <v>39994</v>
          </cell>
          <cell r="F892" t="str">
            <v>DBU</v>
          </cell>
        </row>
        <row r="893">
          <cell r="E893">
            <v>39994</v>
          </cell>
          <cell r="F893" t="str">
            <v>DBU</v>
          </cell>
        </row>
        <row r="894">
          <cell r="F894" t="str">
            <v>DBU</v>
          </cell>
        </row>
        <row r="895">
          <cell r="F895" t="str">
            <v>DBU</v>
          </cell>
        </row>
        <row r="896">
          <cell r="F896" t="str">
            <v>DBU</v>
          </cell>
        </row>
        <row r="897">
          <cell r="E897">
            <v>39994</v>
          </cell>
          <cell r="F897" t="str">
            <v>DBU</v>
          </cell>
        </row>
        <row r="898">
          <cell r="E898">
            <v>39994</v>
          </cell>
          <cell r="F898" t="str">
            <v>DBU</v>
          </cell>
        </row>
        <row r="899">
          <cell r="E899">
            <v>39994</v>
          </cell>
          <cell r="F899" t="str">
            <v>DBU</v>
          </cell>
        </row>
        <row r="900">
          <cell r="E900">
            <v>39994</v>
          </cell>
          <cell r="F900" t="str">
            <v>DBU</v>
          </cell>
        </row>
        <row r="901">
          <cell r="E901">
            <v>39994</v>
          </cell>
          <cell r="F901" t="str">
            <v>DBU</v>
          </cell>
        </row>
        <row r="902">
          <cell r="E902">
            <v>39994</v>
          </cell>
          <cell r="F902" t="str">
            <v>DBU</v>
          </cell>
        </row>
        <row r="903">
          <cell r="E903">
            <v>39994</v>
          </cell>
          <cell r="F903" t="str">
            <v>DBU</v>
          </cell>
        </row>
        <row r="904">
          <cell r="E904">
            <v>39994</v>
          </cell>
          <cell r="F904" t="str">
            <v>DBU</v>
          </cell>
        </row>
        <row r="905">
          <cell r="E905">
            <v>39994</v>
          </cell>
          <cell r="F905" t="str">
            <v>DBU</v>
          </cell>
        </row>
        <row r="906">
          <cell r="E906">
            <v>39994</v>
          </cell>
          <cell r="F906" t="str">
            <v>DBU</v>
          </cell>
        </row>
        <row r="907">
          <cell r="E907">
            <v>39994</v>
          </cell>
          <cell r="F907" t="str">
            <v>DBU</v>
          </cell>
        </row>
        <row r="908">
          <cell r="E908">
            <v>39994</v>
          </cell>
          <cell r="F908" t="str">
            <v>DBU</v>
          </cell>
        </row>
        <row r="909">
          <cell r="E909">
            <v>39994</v>
          </cell>
          <cell r="F909" t="str">
            <v>DBU</v>
          </cell>
        </row>
        <row r="910">
          <cell r="E910">
            <v>39994</v>
          </cell>
          <cell r="F910" t="str">
            <v>DBU</v>
          </cell>
        </row>
        <row r="911">
          <cell r="E911">
            <v>39994</v>
          </cell>
          <cell r="F911" t="str">
            <v>DBU</v>
          </cell>
        </row>
        <row r="912">
          <cell r="E912">
            <v>39994</v>
          </cell>
          <cell r="F912" t="str">
            <v>DBU</v>
          </cell>
        </row>
        <row r="913">
          <cell r="E913">
            <v>39994</v>
          </cell>
          <cell r="F913" t="str">
            <v>DBU</v>
          </cell>
        </row>
        <row r="914">
          <cell r="E914">
            <v>39994</v>
          </cell>
          <cell r="F914" t="str">
            <v>DBU</v>
          </cell>
        </row>
        <row r="915">
          <cell r="E915">
            <v>39994</v>
          </cell>
          <cell r="F915" t="str">
            <v>DBU</v>
          </cell>
        </row>
        <row r="916">
          <cell r="E916">
            <v>39994</v>
          </cell>
          <cell r="F916" t="str">
            <v>DBU</v>
          </cell>
        </row>
        <row r="917">
          <cell r="E917">
            <v>39994</v>
          </cell>
          <cell r="F917" t="str">
            <v>DBU</v>
          </cell>
        </row>
        <row r="918">
          <cell r="E918">
            <v>39994</v>
          </cell>
          <cell r="F918" t="str">
            <v>DBU</v>
          </cell>
        </row>
        <row r="919">
          <cell r="E919">
            <v>39994</v>
          </cell>
          <cell r="F919" t="str">
            <v>DBU</v>
          </cell>
        </row>
        <row r="920">
          <cell r="E920">
            <v>39994</v>
          </cell>
          <cell r="F920" t="str">
            <v>DBU</v>
          </cell>
        </row>
        <row r="921">
          <cell r="E921">
            <v>39994</v>
          </cell>
          <cell r="F921" t="str">
            <v>DBU</v>
          </cell>
        </row>
        <row r="922">
          <cell r="E922">
            <v>39994</v>
          </cell>
          <cell r="F922" t="str">
            <v>DBU</v>
          </cell>
        </row>
        <row r="923">
          <cell r="E923">
            <v>39994</v>
          </cell>
          <cell r="F923" t="str">
            <v>DBU</v>
          </cell>
        </row>
        <row r="924">
          <cell r="E924">
            <v>39994</v>
          </cell>
          <cell r="F924" t="str">
            <v>DBU</v>
          </cell>
        </row>
        <row r="925">
          <cell r="E925">
            <v>39994</v>
          </cell>
          <cell r="F925" t="str">
            <v>DBU</v>
          </cell>
        </row>
        <row r="926">
          <cell r="E926">
            <v>39994</v>
          </cell>
          <cell r="F926" t="str">
            <v>DBU</v>
          </cell>
        </row>
        <row r="927">
          <cell r="E927">
            <v>39994</v>
          </cell>
          <cell r="F927" t="str">
            <v>DBU</v>
          </cell>
        </row>
        <row r="928">
          <cell r="E928">
            <v>39994</v>
          </cell>
          <cell r="F928" t="str">
            <v>DBU</v>
          </cell>
        </row>
        <row r="929">
          <cell r="E929">
            <v>39994</v>
          </cell>
          <cell r="F929" t="str">
            <v>DBU</v>
          </cell>
        </row>
        <row r="930">
          <cell r="E930">
            <v>39994</v>
          </cell>
          <cell r="F930" t="str">
            <v>DBU</v>
          </cell>
        </row>
        <row r="931">
          <cell r="E931">
            <v>39994</v>
          </cell>
          <cell r="F931" t="str">
            <v>DBU</v>
          </cell>
        </row>
        <row r="932">
          <cell r="E932">
            <v>39994</v>
          </cell>
          <cell r="F932" t="str">
            <v>DBU</v>
          </cell>
        </row>
        <row r="933">
          <cell r="E933">
            <v>39994</v>
          </cell>
          <cell r="F933" t="str">
            <v>DBU</v>
          </cell>
        </row>
        <row r="934">
          <cell r="E934">
            <v>39994</v>
          </cell>
          <cell r="F934" t="str">
            <v>DBU</v>
          </cell>
        </row>
        <row r="935">
          <cell r="E935">
            <v>39994</v>
          </cell>
          <cell r="F935" t="str">
            <v>DBU</v>
          </cell>
        </row>
        <row r="936">
          <cell r="E936">
            <v>39994</v>
          </cell>
          <cell r="F936" t="str">
            <v>DBU</v>
          </cell>
        </row>
        <row r="937">
          <cell r="E937">
            <v>39994</v>
          </cell>
          <cell r="F937" t="str">
            <v>DBU</v>
          </cell>
        </row>
        <row r="938">
          <cell r="E938">
            <v>39994</v>
          </cell>
          <cell r="F938" t="str">
            <v>DBU</v>
          </cell>
        </row>
        <row r="939">
          <cell r="E939">
            <v>39994</v>
          </cell>
          <cell r="F939" t="str">
            <v>DBU</v>
          </cell>
        </row>
        <row r="940">
          <cell r="E940">
            <v>39994</v>
          </cell>
          <cell r="F940" t="str">
            <v>DBU</v>
          </cell>
        </row>
        <row r="941">
          <cell r="E941">
            <v>39994</v>
          </cell>
          <cell r="F941" t="str">
            <v>DBU</v>
          </cell>
        </row>
        <row r="942">
          <cell r="E942">
            <v>39994</v>
          </cell>
          <cell r="F942" t="str">
            <v>DBU</v>
          </cell>
        </row>
        <row r="943">
          <cell r="E943">
            <v>39994</v>
          </cell>
          <cell r="F943" t="str">
            <v>DBU</v>
          </cell>
        </row>
        <row r="944">
          <cell r="E944">
            <v>39994</v>
          </cell>
          <cell r="F944" t="str">
            <v>DBU</v>
          </cell>
        </row>
        <row r="945">
          <cell r="E945">
            <v>39994</v>
          </cell>
          <cell r="F945" t="str">
            <v>DBU</v>
          </cell>
        </row>
        <row r="946">
          <cell r="E946">
            <v>39994</v>
          </cell>
          <cell r="F946" t="str">
            <v>DBU</v>
          </cell>
        </row>
        <row r="947">
          <cell r="E947">
            <v>39994</v>
          </cell>
          <cell r="F947" t="str">
            <v>DBU</v>
          </cell>
        </row>
        <row r="948">
          <cell r="E948">
            <v>39994</v>
          </cell>
          <cell r="F948" t="str">
            <v>DBU</v>
          </cell>
        </row>
        <row r="949">
          <cell r="E949">
            <v>39994</v>
          </cell>
          <cell r="F949" t="str">
            <v>DBU</v>
          </cell>
        </row>
        <row r="950">
          <cell r="E950">
            <v>39994</v>
          </cell>
          <cell r="F950" t="str">
            <v>DBU</v>
          </cell>
        </row>
        <row r="951">
          <cell r="E951">
            <v>39994</v>
          </cell>
          <cell r="F951" t="str">
            <v>DBU</v>
          </cell>
        </row>
        <row r="952">
          <cell r="E952">
            <v>39994</v>
          </cell>
          <cell r="F952" t="str">
            <v>DBU</v>
          </cell>
        </row>
        <row r="953">
          <cell r="E953">
            <v>39994</v>
          </cell>
          <cell r="F953" t="str">
            <v>DBU</v>
          </cell>
        </row>
        <row r="954">
          <cell r="E954">
            <v>39994</v>
          </cell>
          <cell r="F954" t="str">
            <v>DBU</v>
          </cell>
        </row>
        <row r="955">
          <cell r="E955">
            <v>39994</v>
          </cell>
          <cell r="F955" t="str">
            <v>DBU</v>
          </cell>
        </row>
        <row r="956">
          <cell r="E956">
            <v>39994</v>
          </cell>
          <cell r="F956" t="str">
            <v>DBU</v>
          </cell>
        </row>
        <row r="957">
          <cell r="E957">
            <v>39994</v>
          </cell>
          <cell r="F957" t="str">
            <v>DBU</v>
          </cell>
        </row>
        <row r="958">
          <cell r="E958">
            <v>39994</v>
          </cell>
          <cell r="F958" t="str">
            <v>DBU</v>
          </cell>
        </row>
        <row r="959">
          <cell r="E959">
            <v>39994</v>
          </cell>
          <cell r="F959" t="str">
            <v>DBU</v>
          </cell>
        </row>
        <row r="960">
          <cell r="E960">
            <v>39994</v>
          </cell>
          <cell r="F960" t="str">
            <v>DBU</v>
          </cell>
        </row>
        <row r="961">
          <cell r="E961">
            <v>39994</v>
          </cell>
          <cell r="F961" t="str">
            <v>DBU</v>
          </cell>
        </row>
        <row r="962">
          <cell r="E962">
            <v>39994</v>
          </cell>
          <cell r="F962" t="str">
            <v>DBU</v>
          </cell>
        </row>
        <row r="963">
          <cell r="E963">
            <v>39994</v>
          </cell>
          <cell r="F963" t="str">
            <v>DBU</v>
          </cell>
        </row>
        <row r="964">
          <cell r="E964">
            <v>39994</v>
          </cell>
          <cell r="F964" t="str">
            <v>DBU</v>
          </cell>
        </row>
        <row r="965">
          <cell r="E965">
            <v>39994</v>
          </cell>
          <cell r="F965" t="str">
            <v>DBU</v>
          </cell>
        </row>
        <row r="966">
          <cell r="E966">
            <v>39994</v>
          </cell>
          <cell r="F966" t="str">
            <v>DBU</v>
          </cell>
        </row>
        <row r="967">
          <cell r="E967">
            <v>39994</v>
          </cell>
          <cell r="F967" t="str">
            <v>DBU</v>
          </cell>
        </row>
        <row r="968">
          <cell r="E968">
            <v>39994</v>
          </cell>
          <cell r="F968" t="str">
            <v>DBU</v>
          </cell>
        </row>
        <row r="969">
          <cell r="E969">
            <v>39994</v>
          </cell>
          <cell r="F969" t="str">
            <v>DBU</v>
          </cell>
        </row>
        <row r="970">
          <cell r="E970">
            <v>39994</v>
          </cell>
          <cell r="F970" t="str">
            <v>DBU</v>
          </cell>
        </row>
        <row r="971">
          <cell r="E971">
            <v>39994</v>
          </cell>
          <cell r="F971" t="str">
            <v>DBU</v>
          </cell>
        </row>
        <row r="972">
          <cell r="E972">
            <v>39994</v>
          </cell>
          <cell r="F972" t="str">
            <v>DBU</v>
          </cell>
        </row>
        <row r="973">
          <cell r="E973">
            <v>39994</v>
          </cell>
          <cell r="F973" t="str">
            <v>DBU</v>
          </cell>
        </row>
        <row r="974">
          <cell r="E974">
            <v>39994</v>
          </cell>
          <cell r="F974" t="str">
            <v>DBU</v>
          </cell>
        </row>
        <row r="975">
          <cell r="E975">
            <v>39994</v>
          </cell>
          <cell r="F975" t="str">
            <v>DBU</v>
          </cell>
        </row>
        <row r="976">
          <cell r="E976">
            <v>39994</v>
          </cell>
          <cell r="F976" t="str">
            <v>DBU</v>
          </cell>
        </row>
        <row r="977">
          <cell r="E977">
            <v>39994</v>
          </cell>
          <cell r="F977" t="str">
            <v>DBU</v>
          </cell>
        </row>
        <row r="978">
          <cell r="E978">
            <v>39994</v>
          </cell>
          <cell r="F978" t="str">
            <v>DBU</v>
          </cell>
        </row>
        <row r="979">
          <cell r="E979">
            <v>39994</v>
          </cell>
          <cell r="F979" t="str">
            <v>DBU</v>
          </cell>
        </row>
        <row r="980">
          <cell r="E980">
            <v>39994</v>
          </cell>
          <cell r="F980" t="str">
            <v>DBU</v>
          </cell>
        </row>
        <row r="981">
          <cell r="E981">
            <v>39994</v>
          </cell>
          <cell r="F981" t="str">
            <v>DBU</v>
          </cell>
        </row>
        <row r="982">
          <cell r="E982">
            <v>39994</v>
          </cell>
          <cell r="F982" t="str">
            <v>DBU</v>
          </cell>
        </row>
        <row r="983">
          <cell r="E983">
            <v>39994</v>
          </cell>
          <cell r="F983" t="str">
            <v>DBU</v>
          </cell>
        </row>
        <row r="984">
          <cell r="E984">
            <v>39994</v>
          </cell>
          <cell r="F984" t="str">
            <v>DBU</v>
          </cell>
        </row>
        <row r="985">
          <cell r="E985">
            <v>39994</v>
          </cell>
          <cell r="F985" t="str">
            <v>DBU</v>
          </cell>
        </row>
        <row r="986">
          <cell r="E986">
            <v>39994</v>
          </cell>
          <cell r="F986" t="str">
            <v>DBU</v>
          </cell>
        </row>
        <row r="987">
          <cell r="E987">
            <v>39994</v>
          </cell>
          <cell r="F987" t="str">
            <v>DBU</v>
          </cell>
        </row>
        <row r="988">
          <cell r="E988">
            <v>39994</v>
          </cell>
          <cell r="F988" t="str">
            <v>DBU</v>
          </cell>
        </row>
        <row r="989">
          <cell r="E989">
            <v>39994</v>
          </cell>
          <cell r="F989" t="str">
            <v>DBU</v>
          </cell>
        </row>
        <row r="990">
          <cell r="E990">
            <v>39994</v>
          </cell>
          <cell r="F990" t="str">
            <v>DBU</v>
          </cell>
        </row>
        <row r="991">
          <cell r="E991">
            <v>39994</v>
          </cell>
          <cell r="F991" t="str">
            <v>DBU</v>
          </cell>
        </row>
        <row r="992">
          <cell r="E992">
            <v>39994</v>
          </cell>
          <cell r="F992" t="str">
            <v>DBU</v>
          </cell>
        </row>
        <row r="993">
          <cell r="E993">
            <v>39994</v>
          </cell>
          <cell r="F993" t="str">
            <v>DBU</v>
          </cell>
        </row>
        <row r="994">
          <cell r="E994">
            <v>39994</v>
          </cell>
          <cell r="F994" t="str">
            <v>DBU</v>
          </cell>
        </row>
        <row r="995">
          <cell r="E995">
            <v>39994</v>
          </cell>
          <cell r="F995" t="str">
            <v>DBU</v>
          </cell>
        </row>
        <row r="996">
          <cell r="E996">
            <v>39994</v>
          </cell>
          <cell r="F996" t="str">
            <v>DBU</v>
          </cell>
        </row>
        <row r="997">
          <cell r="E997">
            <v>39994</v>
          </cell>
          <cell r="F997" t="str">
            <v>DBU</v>
          </cell>
        </row>
        <row r="998">
          <cell r="E998">
            <v>39994</v>
          </cell>
          <cell r="F998" t="str">
            <v>DBU</v>
          </cell>
        </row>
        <row r="999">
          <cell r="E999">
            <v>39994</v>
          </cell>
          <cell r="F999" t="str">
            <v>DBU</v>
          </cell>
        </row>
        <row r="1000">
          <cell r="E1000">
            <v>39994</v>
          </cell>
          <cell r="F1000" t="str">
            <v>DBU</v>
          </cell>
        </row>
        <row r="1001">
          <cell r="E1001">
            <v>39994</v>
          </cell>
          <cell r="F1001" t="str">
            <v>DBU</v>
          </cell>
        </row>
        <row r="1002">
          <cell r="E1002">
            <v>39994</v>
          </cell>
          <cell r="F1002" t="str">
            <v>DBU</v>
          </cell>
        </row>
        <row r="1003">
          <cell r="E1003">
            <v>39994</v>
          </cell>
          <cell r="F1003" t="str">
            <v>DBU</v>
          </cell>
        </row>
        <row r="1004">
          <cell r="E1004">
            <v>39994</v>
          </cell>
          <cell r="F1004" t="str">
            <v>DBU</v>
          </cell>
        </row>
        <row r="1005">
          <cell r="E1005">
            <v>39994</v>
          </cell>
          <cell r="F1005" t="str">
            <v>DBU</v>
          </cell>
        </row>
        <row r="1006">
          <cell r="E1006">
            <v>39994</v>
          </cell>
          <cell r="F1006" t="str">
            <v>DBU</v>
          </cell>
        </row>
        <row r="1007">
          <cell r="E1007">
            <v>39994</v>
          </cell>
          <cell r="F1007" t="str">
            <v>DBU</v>
          </cell>
        </row>
        <row r="1008">
          <cell r="E1008">
            <v>39994</v>
          </cell>
          <cell r="F1008" t="str">
            <v>DBU</v>
          </cell>
        </row>
        <row r="1009">
          <cell r="E1009">
            <v>39994</v>
          </cell>
          <cell r="F1009" t="str">
            <v>DBU</v>
          </cell>
        </row>
        <row r="1010">
          <cell r="E1010">
            <v>39994</v>
          </cell>
          <cell r="F1010" t="str">
            <v>DBU</v>
          </cell>
        </row>
        <row r="1011">
          <cell r="E1011">
            <v>39994</v>
          </cell>
          <cell r="F1011" t="str">
            <v>DBU</v>
          </cell>
        </row>
        <row r="1012">
          <cell r="E1012">
            <v>39994</v>
          </cell>
          <cell r="F1012" t="str">
            <v>DBU</v>
          </cell>
        </row>
        <row r="1013">
          <cell r="E1013">
            <v>39994</v>
          </cell>
          <cell r="F1013" t="str">
            <v>DBU</v>
          </cell>
        </row>
        <row r="1014">
          <cell r="E1014">
            <v>39994</v>
          </cell>
          <cell r="F1014" t="str">
            <v>DBU</v>
          </cell>
        </row>
        <row r="1015">
          <cell r="E1015">
            <v>39994</v>
          </cell>
          <cell r="F1015" t="str">
            <v>DBU</v>
          </cell>
        </row>
        <row r="1016">
          <cell r="E1016">
            <v>39994</v>
          </cell>
          <cell r="F1016" t="str">
            <v>DBU</v>
          </cell>
        </row>
        <row r="1017">
          <cell r="E1017">
            <v>39994</v>
          </cell>
          <cell r="F1017" t="str">
            <v>DBU</v>
          </cell>
        </row>
        <row r="1018">
          <cell r="E1018">
            <v>39994</v>
          </cell>
          <cell r="F1018" t="str">
            <v>DBU</v>
          </cell>
        </row>
        <row r="1019">
          <cell r="E1019">
            <v>39994</v>
          </cell>
          <cell r="F1019" t="str">
            <v>DBU</v>
          </cell>
        </row>
        <row r="1020">
          <cell r="E1020">
            <v>39994</v>
          </cell>
          <cell r="F1020" t="str">
            <v>DBU</v>
          </cell>
        </row>
        <row r="1021">
          <cell r="E1021">
            <v>39994</v>
          </cell>
          <cell r="F1021" t="str">
            <v>DBU</v>
          </cell>
        </row>
        <row r="1022">
          <cell r="E1022">
            <v>39994</v>
          </cell>
          <cell r="F1022" t="str">
            <v>DBU</v>
          </cell>
        </row>
        <row r="1023">
          <cell r="E1023">
            <v>39994</v>
          </cell>
          <cell r="F1023" t="str">
            <v>DBU</v>
          </cell>
        </row>
        <row r="1024">
          <cell r="E1024">
            <v>39994</v>
          </cell>
          <cell r="F1024" t="str">
            <v>DBU</v>
          </cell>
        </row>
        <row r="1025">
          <cell r="E1025">
            <v>39994</v>
          </cell>
          <cell r="F1025" t="str">
            <v>DBU</v>
          </cell>
        </row>
        <row r="1026">
          <cell r="E1026">
            <v>39994</v>
          </cell>
          <cell r="F1026" t="str">
            <v>DBU</v>
          </cell>
        </row>
        <row r="1027">
          <cell r="E1027">
            <v>39994</v>
          </cell>
          <cell r="F1027" t="str">
            <v>DBU</v>
          </cell>
        </row>
        <row r="1028">
          <cell r="E1028">
            <v>39994</v>
          </cell>
          <cell r="F1028" t="str">
            <v>DBU</v>
          </cell>
        </row>
        <row r="1029">
          <cell r="E1029">
            <v>39994</v>
          </cell>
          <cell r="F1029" t="str">
            <v>DBU</v>
          </cell>
        </row>
        <row r="1030">
          <cell r="E1030">
            <v>39994</v>
          </cell>
          <cell r="F1030" t="str">
            <v>DBU</v>
          </cell>
        </row>
        <row r="1031">
          <cell r="E1031">
            <v>39994</v>
          </cell>
          <cell r="F1031" t="str">
            <v>DBU</v>
          </cell>
        </row>
        <row r="1032">
          <cell r="E1032">
            <v>39994</v>
          </cell>
          <cell r="F1032" t="str">
            <v>DBU</v>
          </cell>
        </row>
        <row r="1033">
          <cell r="E1033">
            <v>39994</v>
          </cell>
          <cell r="F1033" t="str">
            <v>DBU</v>
          </cell>
        </row>
        <row r="1034">
          <cell r="E1034">
            <v>39994</v>
          </cell>
          <cell r="F1034" t="str">
            <v>DBU</v>
          </cell>
        </row>
        <row r="1035">
          <cell r="E1035">
            <v>39994</v>
          </cell>
          <cell r="F1035" t="str">
            <v>DBU</v>
          </cell>
        </row>
        <row r="1036">
          <cell r="E1036">
            <v>39994</v>
          </cell>
          <cell r="F1036" t="str">
            <v>DBU</v>
          </cell>
        </row>
        <row r="1037">
          <cell r="E1037">
            <v>39994</v>
          </cell>
          <cell r="F1037" t="str">
            <v>DBU</v>
          </cell>
        </row>
        <row r="1038">
          <cell r="E1038">
            <v>39994</v>
          </cell>
          <cell r="F1038" t="str">
            <v>DBU</v>
          </cell>
        </row>
        <row r="1039">
          <cell r="E1039">
            <v>39994</v>
          </cell>
          <cell r="F1039" t="str">
            <v>DBU</v>
          </cell>
        </row>
        <row r="1040">
          <cell r="E1040">
            <v>39994</v>
          </cell>
          <cell r="F1040" t="str">
            <v>DBU</v>
          </cell>
        </row>
        <row r="1041">
          <cell r="E1041">
            <v>39994</v>
          </cell>
          <cell r="F1041" t="str">
            <v>DBU</v>
          </cell>
        </row>
        <row r="1042">
          <cell r="E1042">
            <v>39994</v>
          </cell>
          <cell r="F1042" t="str">
            <v>DBU</v>
          </cell>
        </row>
        <row r="1043">
          <cell r="E1043">
            <v>39994</v>
          </cell>
          <cell r="F1043" t="str">
            <v>DBU</v>
          </cell>
        </row>
        <row r="1044">
          <cell r="E1044">
            <v>39994</v>
          </cell>
          <cell r="F1044" t="str">
            <v>DBU</v>
          </cell>
        </row>
        <row r="1045">
          <cell r="E1045">
            <v>39994</v>
          </cell>
          <cell r="F1045" t="str">
            <v>DBU</v>
          </cell>
        </row>
        <row r="1046">
          <cell r="E1046">
            <v>39994</v>
          </cell>
          <cell r="F1046" t="str">
            <v>DBU</v>
          </cell>
        </row>
        <row r="1047">
          <cell r="E1047">
            <v>39994</v>
          </cell>
          <cell r="F1047" t="str">
            <v>DBU</v>
          </cell>
        </row>
        <row r="1048">
          <cell r="E1048">
            <v>39994</v>
          </cell>
          <cell r="F1048" t="str">
            <v>DBU</v>
          </cell>
        </row>
        <row r="1049">
          <cell r="E1049">
            <v>39994</v>
          </cell>
          <cell r="F1049" t="str">
            <v>DBU</v>
          </cell>
        </row>
        <row r="1050">
          <cell r="E1050">
            <v>39994</v>
          </cell>
          <cell r="F1050" t="str">
            <v>DBU</v>
          </cell>
        </row>
        <row r="1051">
          <cell r="E1051">
            <v>39994</v>
          </cell>
          <cell r="F1051" t="str">
            <v>DBU</v>
          </cell>
        </row>
        <row r="1052">
          <cell r="E1052">
            <v>39994</v>
          </cell>
          <cell r="F1052" t="str">
            <v>DBU</v>
          </cell>
        </row>
        <row r="1053">
          <cell r="E1053">
            <v>39994</v>
          </cell>
          <cell r="F1053" t="str">
            <v>DBU</v>
          </cell>
        </row>
        <row r="1054">
          <cell r="E1054">
            <v>39994</v>
          </cell>
          <cell r="F1054" t="str">
            <v>DBU</v>
          </cell>
        </row>
        <row r="1055">
          <cell r="E1055">
            <v>39994</v>
          </cell>
          <cell r="F1055" t="str">
            <v>DBU</v>
          </cell>
        </row>
        <row r="1056">
          <cell r="E1056">
            <v>39994</v>
          </cell>
          <cell r="F1056" t="str">
            <v>DBU</v>
          </cell>
        </row>
        <row r="1057">
          <cell r="E1057">
            <v>39994</v>
          </cell>
          <cell r="F1057" t="str">
            <v>DBU</v>
          </cell>
        </row>
        <row r="1058">
          <cell r="E1058">
            <v>39994</v>
          </cell>
          <cell r="F1058" t="str">
            <v>DBU</v>
          </cell>
        </row>
        <row r="1059">
          <cell r="E1059">
            <v>39994</v>
          </cell>
          <cell r="F1059" t="str">
            <v>DBU</v>
          </cell>
        </row>
        <row r="1060">
          <cell r="E1060">
            <v>39994</v>
          </cell>
          <cell r="F1060" t="str">
            <v>DBU</v>
          </cell>
        </row>
        <row r="1061">
          <cell r="E1061">
            <v>39994</v>
          </cell>
          <cell r="F1061" t="str">
            <v>DBU</v>
          </cell>
        </row>
        <row r="1062">
          <cell r="E1062">
            <v>39994</v>
          </cell>
          <cell r="F1062" t="str">
            <v>DBU</v>
          </cell>
        </row>
        <row r="1063">
          <cell r="E1063">
            <v>39994</v>
          </cell>
          <cell r="F1063" t="str">
            <v>DBU</v>
          </cell>
        </row>
        <row r="1064">
          <cell r="E1064">
            <v>39994</v>
          </cell>
          <cell r="F1064" t="str">
            <v>DBU</v>
          </cell>
        </row>
        <row r="1065">
          <cell r="E1065">
            <v>39994</v>
          </cell>
          <cell r="F1065" t="str">
            <v>DBU</v>
          </cell>
        </row>
        <row r="1066">
          <cell r="E1066">
            <v>39994</v>
          </cell>
          <cell r="F1066" t="str">
            <v>DBU</v>
          </cell>
        </row>
        <row r="1067">
          <cell r="E1067">
            <v>39994</v>
          </cell>
          <cell r="F1067" t="str">
            <v>DBU</v>
          </cell>
        </row>
        <row r="1068">
          <cell r="E1068">
            <v>39994</v>
          </cell>
          <cell r="F1068" t="str">
            <v>DBU</v>
          </cell>
        </row>
        <row r="1069">
          <cell r="E1069">
            <v>39994</v>
          </cell>
          <cell r="F1069" t="str">
            <v>DBU</v>
          </cell>
        </row>
        <row r="1070">
          <cell r="E1070">
            <v>39994</v>
          </cell>
          <cell r="F1070" t="str">
            <v>DBU</v>
          </cell>
        </row>
        <row r="1071">
          <cell r="E1071">
            <v>39994</v>
          </cell>
          <cell r="F1071" t="str">
            <v>DBU</v>
          </cell>
        </row>
        <row r="1072">
          <cell r="E1072">
            <v>39994</v>
          </cell>
          <cell r="F1072" t="str">
            <v>DBU</v>
          </cell>
        </row>
        <row r="1073">
          <cell r="E1073">
            <v>39994</v>
          </cell>
          <cell r="F1073" t="str">
            <v>DBU</v>
          </cell>
        </row>
        <row r="1074">
          <cell r="E1074">
            <v>39994</v>
          </cell>
          <cell r="F1074" t="str">
            <v>DBU</v>
          </cell>
        </row>
        <row r="1075">
          <cell r="E1075">
            <v>39994</v>
          </cell>
          <cell r="F1075" t="str">
            <v>DBU</v>
          </cell>
        </row>
        <row r="1076">
          <cell r="E1076">
            <v>39994</v>
          </cell>
          <cell r="F1076" t="str">
            <v>DBU</v>
          </cell>
        </row>
        <row r="1077">
          <cell r="E1077">
            <v>39994</v>
          </cell>
          <cell r="F1077" t="str">
            <v>DBU</v>
          </cell>
        </row>
        <row r="1078">
          <cell r="E1078">
            <v>39994</v>
          </cell>
          <cell r="F1078" t="str">
            <v>DBU</v>
          </cell>
        </row>
        <row r="1079">
          <cell r="E1079">
            <v>39994</v>
          </cell>
          <cell r="F1079" t="str">
            <v>DBU</v>
          </cell>
        </row>
        <row r="1080">
          <cell r="E1080">
            <v>39994</v>
          </cell>
          <cell r="F1080" t="str">
            <v>DBU</v>
          </cell>
        </row>
        <row r="1081">
          <cell r="E1081">
            <v>39994</v>
          </cell>
          <cell r="F1081" t="str">
            <v>DBU</v>
          </cell>
        </row>
        <row r="1082">
          <cell r="E1082">
            <v>39994</v>
          </cell>
          <cell r="F1082" t="str">
            <v>DBU</v>
          </cell>
        </row>
        <row r="1083">
          <cell r="E1083">
            <v>39994</v>
          </cell>
          <cell r="F1083" t="str">
            <v>DBU</v>
          </cell>
        </row>
        <row r="1084">
          <cell r="E1084">
            <v>39994</v>
          </cell>
          <cell r="F1084" t="str">
            <v>DBU</v>
          </cell>
        </row>
        <row r="1085">
          <cell r="E1085">
            <v>39994</v>
          </cell>
          <cell r="F1085" t="str">
            <v>DBU</v>
          </cell>
        </row>
        <row r="1086">
          <cell r="E1086">
            <v>39994</v>
          </cell>
          <cell r="F1086" t="str">
            <v>DBU</v>
          </cell>
        </row>
        <row r="1087">
          <cell r="E1087">
            <v>39994</v>
          </cell>
          <cell r="F1087" t="str">
            <v>DBU</v>
          </cell>
        </row>
        <row r="1088">
          <cell r="E1088">
            <v>39994</v>
          </cell>
          <cell r="F1088" t="str">
            <v>DBU</v>
          </cell>
        </row>
        <row r="1089">
          <cell r="E1089">
            <v>39994</v>
          </cell>
          <cell r="F1089" t="str">
            <v>DBU</v>
          </cell>
        </row>
        <row r="1090">
          <cell r="E1090">
            <v>39994</v>
          </cell>
          <cell r="F1090" t="str">
            <v>DBU</v>
          </cell>
        </row>
        <row r="1091">
          <cell r="E1091">
            <v>39994</v>
          </cell>
          <cell r="F1091" t="str">
            <v>DBU</v>
          </cell>
        </row>
        <row r="1092">
          <cell r="E1092">
            <v>39994</v>
          </cell>
          <cell r="F1092" t="str">
            <v>DBU</v>
          </cell>
        </row>
        <row r="1093">
          <cell r="E1093">
            <v>39994</v>
          </cell>
          <cell r="F1093" t="str">
            <v>DBU</v>
          </cell>
        </row>
        <row r="1094">
          <cell r="E1094">
            <v>39994</v>
          </cell>
          <cell r="F1094" t="str">
            <v>DBU</v>
          </cell>
        </row>
        <row r="1095">
          <cell r="E1095">
            <v>39994</v>
          </cell>
          <cell r="F1095" t="str">
            <v>DBU</v>
          </cell>
        </row>
        <row r="1096">
          <cell r="E1096">
            <v>39994</v>
          </cell>
          <cell r="F1096" t="str">
            <v>DBU</v>
          </cell>
        </row>
        <row r="1097">
          <cell r="E1097">
            <v>39994</v>
          </cell>
          <cell r="F1097" t="str">
            <v>DBU</v>
          </cell>
        </row>
        <row r="1098">
          <cell r="E1098">
            <v>39994</v>
          </cell>
          <cell r="F1098" t="str">
            <v>DBU</v>
          </cell>
        </row>
        <row r="1099">
          <cell r="E1099">
            <v>39994</v>
          </cell>
          <cell r="F1099" t="str">
            <v>DBU</v>
          </cell>
        </row>
        <row r="1100">
          <cell r="E1100">
            <v>39994</v>
          </cell>
          <cell r="F1100" t="str">
            <v>DBU</v>
          </cell>
        </row>
        <row r="1101">
          <cell r="E1101">
            <v>39994</v>
          </cell>
          <cell r="F1101" t="str">
            <v>DBU</v>
          </cell>
        </row>
        <row r="1102">
          <cell r="E1102">
            <v>39994</v>
          </cell>
          <cell r="F1102" t="str">
            <v>DBU</v>
          </cell>
        </row>
        <row r="1103">
          <cell r="E1103">
            <v>39994</v>
          </cell>
          <cell r="F1103" t="str">
            <v>DBU</v>
          </cell>
        </row>
        <row r="1104">
          <cell r="E1104">
            <v>39994</v>
          </cell>
          <cell r="F1104" t="str">
            <v>DBU</v>
          </cell>
        </row>
        <row r="1105">
          <cell r="E1105">
            <v>39994</v>
          </cell>
          <cell r="F1105" t="str">
            <v>DBU</v>
          </cell>
        </row>
        <row r="1106">
          <cell r="E1106">
            <v>39994</v>
          </cell>
          <cell r="F1106" t="str">
            <v>DBU</v>
          </cell>
        </row>
        <row r="1107">
          <cell r="E1107">
            <v>39994</v>
          </cell>
          <cell r="F1107" t="str">
            <v>DBU</v>
          </cell>
        </row>
        <row r="1108">
          <cell r="E1108">
            <v>39994</v>
          </cell>
          <cell r="F1108" t="str">
            <v>DBU</v>
          </cell>
        </row>
        <row r="1109">
          <cell r="E1109">
            <v>39994</v>
          </cell>
          <cell r="F1109" t="str">
            <v>DBU</v>
          </cell>
        </row>
        <row r="1110">
          <cell r="E1110">
            <v>39994</v>
          </cell>
          <cell r="F1110" t="str">
            <v>DBU</v>
          </cell>
        </row>
        <row r="1111">
          <cell r="E1111">
            <v>39994</v>
          </cell>
          <cell r="F1111" t="str">
            <v>DBU</v>
          </cell>
        </row>
        <row r="1112">
          <cell r="E1112">
            <v>39994</v>
          </cell>
          <cell r="F1112" t="str">
            <v>DBU</v>
          </cell>
        </row>
        <row r="1113">
          <cell r="E1113">
            <v>39994</v>
          </cell>
          <cell r="F1113" t="str">
            <v>DBU</v>
          </cell>
        </row>
        <row r="1114">
          <cell r="E1114">
            <v>39994</v>
          </cell>
          <cell r="F1114" t="str">
            <v>DBU</v>
          </cell>
        </row>
        <row r="1115">
          <cell r="E1115">
            <v>39994</v>
          </cell>
          <cell r="F1115" t="str">
            <v>DBU</v>
          </cell>
        </row>
        <row r="1116">
          <cell r="E1116">
            <v>39994</v>
          </cell>
          <cell r="F1116" t="str">
            <v>DBU</v>
          </cell>
        </row>
        <row r="1117">
          <cell r="E1117">
            <v>39994</v>
          </cell>
          <cell r="F1117" t="str">
            <v>DBU</v>
          </cell>
        </row>
        <row r="1118">
          <cell r="E1118">
            <v>39994</v>
          </cell>
          <cell r="F1118" t="str">
            <v>DBU</v>
          </cell>
        </row>
        <row r="1119">
          <cell r="E1119">
            <v>39994</v>
          </cell>
          <cell r="F1119" t="str">
            <v>DBU</v>
          </cell>
        </row>
        <row r="1120">
          <cell r="E1120">
            <v>39994</v>
          </cell>
          <cell r="F1120" t="str">
            <v>DBU</v>
          </cell>
        </row>
        <row r="1121">
          <cell r="E1121">
            <v>39994</v>
          </cell>
          <cell r="F1121" t="str">
            <v>DBU</v>
          </cell>
        </row>
        <row r="1122">
          <cell r="E1122">
            <v>39994</v>
          </cell>
          <cell r="F1122" t="str">
            <v>DBU</v>
          </cell>
        </row>
        <row r="1123">
          <cell r="E1123">
            <v>39994</v>
          </cell>
          <cell r="F1123" t="str">
            <v>DBU</v>
          </cell>
        </row>
        <row r="1124">
          <cell r="E1124">
            <v>39994</v>
          </cell>
          <cell r="F1124" t="str">
            <v>DBU</v>
          </cell>
        </row>
        <row r="1125">
          <cell r="E1125">
            <v>39994</v>
          </cell>
          <cell r="F1125" t="str">
            <v>DBU</v>
          </cell>
        </row>
        <row r="1126">
          <cell r="E1126">
            <v>39994</v>
          </cell>
          <cell r="F1126" t="str">
            <v>DBU</v>
          </cell>
        </row>
        <row r="1127">
          <cell r="E1127">
            <v>39994</v>
          </cell>
          <cell r="F1127" t="str">
            <v>DBU</v>
          </cell>
        </row>
        <row r="1128">
          <cell r="E1128">
            <v>39994</v>
          </cell>
          <cell r="F1128" t="str">
            <v>DBU</v>
          </cell>
        </row>
        <row r="1129">
          <cell r="E1129">
            <v>39994</v>
          </cell>
          <cell r="F1129" t="str">
            <v>DBU</v>
          </cell>
        </row>
        <row r="1130">
          <cell r="E1130">
            <v>39994</v>
          </cell>
          <cell r="F1130" t="str">
            <v>DBU</v>
          </cell>
        </row>
        <row r="1131">
          <cell r="E1131">
            <v>39994</v>
          </cell>
          <cell r="F1131" t="str">
            <v>DBU</v>
          </cell>
        </row>
        <row r="1132">
          <cell r="E1132">
            <v>39994</v>
          </cell>
          <cell r="F1132" t="str">
            <v>DBU</v>
          </cell>
        </row>
        <row r="1133">
          <cell r="E1133">
            <v>39994</v>
          </cell>
          <cell r="F1133" t="str">
            <v>DBU</v>
          </cell>
        </row>
        <row r="1134">
          <cell r="E1134">
            <v>39994</v>
          </cell>
          <cell r="F1134" t="str">
            <v>DBU</v>
          </cell>
        </row>
        <row r="1135">
          <cell r="E1135">
            <v>39994</v>
          </cell>
          <cell r="F1135" t="str">
            <v>DBU</v>
          </cell>
        </row>
        <row r="1136">
          <cell r="E1136">
            <v>39994</v>
          </cell>
          <cell r="F1136" t="str">
            <v>DBU</v>
          </cell>
        </row>
        <row r="1137">
          <cell r="E1137">
            <v>39994</v>
          </cell>
          <cell r="F1137" t="str">
            <v>DBU</v>
          </cell>
        </row>
        <row r="1138">
          <cell r="E1138">
            <v>39994</v>
          </cell>
          <cell r="F1138" t="str">
            <v>DBU</v>
          </cell>
        </row>
        <row r="1139">
          <cell r="E1139">
            <v>39994</v>
          </cell>
          <cell r="F1139" t="str">
            <v>DBU</v>
          </cell>
        </row>
        <row r="1140">
          <cell r="E1140">
            <v>39994</v>
          </cell>
          <cell r="F1140" t="str">
            <v>DBU</v>
          </cell>
        </row>
        <row r="1141">
          <cell r="E1141">
            <v>39994</v>
          </cell>
          <cell r="F1141" t="str">
            <v>DBU</v>
          </cell>
        </row>
        <row r="1142">
          <cell r="E1142">
            <v>39994</v>
          </cell>
          <cell r="F1142" t="str">
            <v>DBU</v>
          </cell>
        </row>
        <row r="1143">
          <cell r="E1143">
            <v>39994</v>
          </cell>
          <cell r="F1143" t="str">
            <v>DBU</v>
          </cell>
        </row>
        <row r="1144">
          <cell r="E1144">
            <v>39994</v>
          </cell>
          <cell r="F1144" t="str">
            <v>DBU</v>
          </cell>
        </row>
        <row r="1145">
          <cell r="E1145">
            <v>39994</v>
          </cell>
          <cell r="F1145" t="str">
            <v>DBU</v>
          </cell>
        </row>
        <row r="1146">
          <cell r="E1146">
            <v>39994</v>
          </cell>
          <cell r="F1146" t="str">
            <v>DBU</v>
          </cell>
        </row>
        <row r="1147">
          <cell r="E1147">
            <v>39994</v>
          </cell>
          <cell r="F1147" t="str">
            <v>DBU</v>
          </cell>
        </row>
        <row r="1148">
          <cell r="E1148">
            <v>39994</v>
          </cell>
          <cell r="F1148" t="str">
            <v>DBU</v>
          </cell>
        </row>
        <row r="1149">
          <cell r="E1149">
            <v>39994</v>
          </cell>
          <cell r="F1149" t="str">
            <v>DBU</v>
          </cell>
        </row>
        <row r="1150">
          <cell r="E1150">
            <v>39994</v>
          </cell>
          <cell r="F1150" t="str">
            <v>DBU</v>
          </cell>
        </row>
        <row r="1151">
          <cell r="E1151">
            <v>39994</v>
          </cell>
          <cell r="F1151" t="str">
            <v>DBU</v>
          </cell>
        </row>
        <row r="1152">
          <cell r="E1152">
            <v>39994</v>
          </cell>
          <cell r="F1152" t="str">
            <v>DBU</v>
          </cell>
        </row>
        <row r="1153">
          <cell r="E1153">
            <v>39994</v>
          </cell>
          <cell r="F1153" t="str">
            <v>DBU</v>
          </cell>
        </row>
        <row r="1154">
          <cell r="E1154">
            <v>39994</v>
          </cell>
          <cell r="F1154" t="str">
            <v>DBU</v>
          </cell>
        </row>
        <row r="1155">
          <cell r="E1155">
            <v>39994</v>
          </cell>
          <cell r="F1155" t="str">
            <v>DBU</v>
          </cell>
        </row>
        <row r="1156">
          <cell r="E1156">
            <v>39994</v>
          </cell>
          <cell r="F1156" t="str">
            <v>DBU</v>
          </cell>
        </row>
        <row r="1157">
          <cell r="E1157">
            <v>39994</v>
          </cell>
          <cell r="F1157" t="str">
            <v>DBU</v>
          </cell>
        </row>
        <row r="1158">
          <cell r="E1158">
            <v>39994</v>
          </cell>
          <cell r="F1158" t="str">
            <v>DBU</v>
          </cell>
        </row>
        <row r="1159">
          <cell r="E1159">
            <v>39994</v>
          </cell>
          <cell r="F1159" t="str">
            <v>DBU</v>
          </cell>
        </row>
        <row r="1160">
          <cell r="E1160">
            <v>39994</v>
          </cell>
          <cell r="F1160" t="str">
            <v>DBU</v>
          </cell>
        </row>
        <row r="1161">
          <cell r="E1161">
            <v>39994</v>
          </cell>
          <cell r="F1161" t="str">
            <v>DBU</v>
          </cell>
        </row>
        <row r="1162">
          <cell r="E1162">
            <v>39994</v>
          </cell>
          <cell r="F1162" t="str">
            <v>DBU</v>
          </cell>
        </row>
        <row r="1163">
          <cell r="E1163">
            <v>39994</v>
          </cell>
          <cell r="F1163" t="str">
            <v>DBU</v>
          </cell>
        </row>
        <row r="1164">
          <cell r="E1164">
            <v>39994</v>
          </cell>
          <cell r="F1164" t="str">
            <v>DBU</v>
          </cell>
        </row>
        <row r="1165">
          <cell r="E1165">
            <v>39994</v>
          </cell>
          <cell r="F1165" t="str">
            <v>DBU</v>
          </cell>
        </row>
        <row r="1166">
          <cell r="E1166">
            <v>39994</v>
          </cell>
          <cell r="F1166" t="str">
            <v>DBU</v>
          </cell>
        </row>
        <row r="1167">
          <cell r="E1167">
            <v>39994</v>
          </cell>
          <cell r="F1167" t="str">
            <v>DBU</v>
          </cell>
        </row>
        <row r="1168">
          <cell r="E1168">
            <v>39994</v>
          </cell>
          <cell r="F1168" t="str">
            <v>DBU</v>
          </cell>
        </row>
        <row r="1169">
          <cell r="E1169">
            <v>39994</v>
          </cell>
          <cell r="F1169" t="str">
            <v>DBU</v>
          </cell>
        </row>
        <row r="1170">
          <cell r="E1170">
            <v>39994</v>
          </cell>
          <cell r="F1170" t="str">
            <v>DBU</v>
          </cell>
        </row>
        <row r="1171">
          <cell r="E1171">
            <v>39994</v>
          </cell>
          <cell r="F1171" t="str">
            <v>DBU</v>
          </cell>
        </row>
        <row r="1172">
          <cell r="E1172">
            <v>39994</v>
          </cell>
          <cell r="F1172" t="str">
            <v>DBU</v>
          </cell>
        </row>
        <row r="1173">
          <cell r="E1173">
            <v>39994</v>
          </cell>
          <cell r="F1173" t="str">
            <v>DBU</v>
          </cell>
        </row>
        <row r="1174">
          <cell r="E1174">
            <v>39994</v>
          </cell>
          <cell r="F1174" t="str">
            <v>DBU</v>
          </cell>
        </row>
        <row r="1175">
          <cell r="E1175">
            <v>39994</v>
          </cell>
          <cell r="F1175" t="str">
            <v>DBU</v>
          </cell>
        </row>
        <row r="1176">
          <cell r="E1176">
            <v>39994</v>
          </cell>
          <cell r="F1176" t="str">
            <v>DBU</v>
          </cell>
        </row>
        <row r="1177">
          <cell r="E1177">
            <v>39994</v>
          </cell>
          <cell r="F1177" t="str">
            <v>DBU</v>
          </cell>
        </row>
        <row r="1178">
          <cell r="E1178">
            <v>39994</v>
          </cell>
          <cell r="F1178" t="str">
            <v>DBU</v>
          </cell>
        </row>
        <row r="1179">
          <cell r="E1179">
            <v>39994</v>
          </cell>
          <cell r="F1179" t="str">
            <v>DBU</v>
          </cell>
        </row>
        <row r="1180">
          <cell r="E1180">
            <v>39994</v>
          </cell>
          <cell r="F1180" t="str">
            <v>DBU</v>
          </cell>
        </row>
        <row r="1181">
          <cell r="E1181">
            <v>39994</v>
          </cell>
          <cell r="F1181" t="str">
            <v>DBU</v>
          </cell>
        </row>
        <row r="1182">
          <cell r="E1182">
            <v>39994</v>
          </cell>
          <cell r="F1182" t="str">
            <v>DBU</v>
          </cell>
        </row>
        <row r="1183">
          <cell r="E1183">
            <v>39994</v>
          </cell>
          <cell r="F1183" t="str">
            <v>DBU</v>
          </cell>
        </row>
        <row r="1184">
          <cell r="E1184">
            <v>39994</v>
          </cell>
          <cell r="F1184" t="str">
            <v>DBU</v>
          </cell>
        </row>
        <row r="1185">
          <cell r="E1185">
            <v>39994</v>
          </cell>
          <cell r="F1185" t="str">
            <v>DBU</v>
          </cell>
        </row>
        <row r="1186">
          <cell r="E1186">
            <v>39994</v>
          </cell>
          <cell r="F1186" t="str">
            <v>DBU</v>
          </cell>
        </row>
        <row r="1187">
          <cell r="E1187">
            <v>39994</v>
          </cell>
          <cell r="F1187" t="str">
            <v>DBU</v>
          </cell>
        </row>
        <row r="1188">
          <cell r="E1188">
            <v>39994</v>
          </cell>
          <cell r="F1188" t="str">
            <v>DBU</v>
          </cell>
        </row>
        <row r="1189">
          <cell r="E1189">
            <v>39994</v>
          </cell>
          <cell r="F1189" t="str">
            <v>DBU</v>
          </cell>
        </row>
        <row r="1190">
          <cell r="E1190">
            <v>39994</v>
          </cell>
          <cell r="F1190" t="str">
            <v>DBU</v>
          </cell>
        </row>
        <row r="1191">
          <cell r="E1191">
            <v>39994</v>
          </cell>
          <cell r="F1191" t="str">
            <v>DBU</v>
          </cell>
        </row>
        <row r="1192">
          <cell r="E1192">
            <v>39994</v>
          </cell>
          <cell r="F1192" t="str">
            <v>DBU</v>
          </cell>
        </row>
        <row r="1193">
          <cell r="E1193">
            <v>39994</v>
          </cell>
          <cell r="F1193" t="str">
            <v>DBU</v>
          </cell>
        </row>
        <row r="1194">
          <cell r="E1194">
            <v>39994</v>
          </cell>
          <cell r="F1194" t="str">
            <v>DBU</v>
          </cell>
        </row>
        <row r="1195">
          <cell r="E1195">
            <v>39994</v>
          </cell>
          <cell r="F1195" t="str">
            <v>DBU</v>
          </cell>
        </row>
        <row r="1196">
          <cell r="E1196">
            <v>39994</v>
          </cell>
          <cell r="F1196" t="str">
            <v>DBU</v>
          </cell>
        </row>
        <row r="1197">
          <cell r="E1197">
            <v>39994</v>
          </cell>
          <cell r="F1197" t="str">
            <v>DBU</v>
          </cell>
        </row>
        <row r="1198">
          <cell r="E1198">
            <v>39994</v>
          </cell>
          <cell r="F1198" t="str">
            <v>DBU</v>
          </cell>
        </row>
        <row r="1199">
          <cell r="E1199">
            <v>39994</v>
          </cell>
          <cell r="F1199" t="str">
            <v>DBU</v>
          </cell>
        </row>
        <row r="1200">
          <cell r="E1200">
            <v>39994</v>
          </cell>
          <cell r="F1200" t="str">
            <v>DBU</v>
          </cell>
        </row>
        <row r="1201">
          <cell r="E1201">
            <v>39994</v>
          </cell>
          <cell r="F1201" t="str">
            <v>DBU</v>
          </cell>
        </row>
        <row r="1202">
          <cell r="E1202">
            <v>39994</v>
          </cell>
          <cell r="F1202" t="str">
            <v>DBU</v>
          </cell>
        </row>
        <row r="1203">
          <cell r="E1203">
            <v>39994</v>
          </cell>
          <cell r="F1203" t="str">
            <v>DBU</v>
          </cell>
        </row>
        <row r="1204">
          <cell r="E1204">
            <v>39994</v>
          </cell>
          <cell r="F1204" t="str">
            <v>DBU</v>
          </cell>
        </row>
        <row r="1205">
          <cell r="E1205">
            <v>39994</v>
          </cell>
          <cell r="F1205" t="str">
            <v>DBU</v>
          </cell>
        </row>
        <row r="1206">
          <cell r="E1206">
            <v>39994</v>
          </cell>
          <cell r="F1206" t="str">
            <v>DBU</v>
          </cell>
        </row>
        <row r="1207">
          <cell r="E1207">
            <v>39994</v>
          </cell>
          <cell r="F1207" t="str">
            <v>DBU</v>
          </cell>
        </row>
        <row r="1208">
          <cell r="E1208">
            <v>39994</v>
          </cell>
          <cell r="F1208" t="str">
            <v>DBU</v>
          </cell>
        </row>
        <row r="1209">
          <cell r="E1209">
            <v>39994</v>
          </cell>
          <cell r="F1209" t="str">
            <v>DBU</v>
          </cell>
        </row>
        <row r="1210">
          <cell r="E1210">
            <v>39994</v>
          </cell>
          <cell r="F1210" t="str">
            <v>DBU</v>
          </cell>
        </row>
        <row r="1211">
          <cell r="E1211">
            <v>39994</v>
          </cell>
          <cell r="F1211" t="str">
            <v>DBU</v>
          </cell>
        </row>
        <row r="1212">
          <cell r="E1212">
            <v>39994</v>
          </cell>
          <cell r="F1212" t="str">
            <v>DBU</v>
          </cell>
        </row>
        <row r="1213">
          <cell r="E1213">
            <v>39994</v>
          </cell>
          <cell r="F1213" t="str">
            <v>DBU</v>
          </cell>
        </row>
        <row r="1214">
          <cell r="E1214">
            <v>39994</v>
          </cell>
          <cell r="F1214" t="str">
            <v>DBU</v>
          </cell>
        </row>
        <row r="1215">
          <cell r="E1215">
            <v>39994</v>
          </cell>
          <cell r="F1215" t="str">
            <v>DBU</v>
          </cell>
        </row>
        <row r="1216">
          <cell r="E1216">
            <v>39994</v>
          </cell>
          <cell r="F1216" t="str">
            <v>DBU</v>
          </cell>
        </row>
        <row r="1217">
          <cell r="E1217">
            <v>39994</v>
          </cell>
          <cell r="F1217" t="str">
            <v>DBU</v>
          </cell>
        </row>
        <row r="1218">
          <cell r="E1218">
            <v>39994</v>
          </cell>
          <cell r="F1218" t="str">
            <v>DBU</v>
          </cell>
        </row>
        <row r="1219">
          <cell r="E1219">
            <v>39994</v>
          </cell>
          <cell r="F1219" t="str">
            <v>DBU</v>
          </cell>
        </row>
        <row r="1220">
          <cell r="E1220">
            <v>39994</v>
          </cell>
          <cell r="F1220" t="str">
            <v>DBU</v>
          </cell>
        </row>
        <row r="1221">
          <cell r="E1221">
            <v>39994</v>
          </cell>
          <cell r="F1221" t="str">
            <v>DBU</v>
          </cell>
        </row>
        <row r="1222">
          <cell r="E1222">
            <v>39994</v>
          </cell>
          <cell r="F1222" t="str">
            <v>DBU</v>
          </cell>
        </row>
        <row r="1223">
          <cell r="E1223">
            <v>39994</v>
          </cell>
          <cell r="F1223" t="str">
            <v>DBU</v>
          </cell>
        </row>
        <row r="1224">
          <cell r="E1224">
            <v>39994</v>
          </cell>
          <cell r="F1224" t="str">
            <v>DBU</v>
          </cell>
        </row>
        <row r="1225">
          <cell r="E1225">
            <v>39994</v>
          </cell>
          <cell r="F1225" t="str">
            <v>DBU</v>
          </cell>
        </row>
        <row r="1226">
          <cell r="E1226">
            <v>39994</v>
          </cell>
          <cell r="F1226" t="str">
            <v>DBU</v>
          </cell>
        </row>
        <row r="1227">
          <cell r="E1227">
            <v>39994</v>
          </cell>
          <cell r="F1227" t="str">
            <v>DBU</v>
          </cell>
        </row>
        <row r="1228">
          <cell r="E1228">
            <v>39994</v>
          </cell>
          <cell r="F1228" t="str">
            <v>DBU</v>
          </cell>
        </row>
        <row r="1229">
          <cell r="E1229">
            <v>39994</v>
          </cell>
          <cell r="F1229" t="str">
            <v>DBU</v>
          </cell>
        </row>
        <row r="1230">
          <cell r="E1230">
            <v>39994</v>
          </cell>
          <cell r="F1230" t="str">
            <v>DBU</v>
          </cell>
        </row>
        <row r="1231">
          <cell r="E1231">
            <v>39994</v>
          </cell>
          <cell r="F1231" t="str">
            <v>DBU</v>
          </cell>
        </row>
        <row r="1232">
          <cell r="E1232">
            <v>39994</v>
          </cell>
          <cell r="F1232" t="str">
            <v>DBU</v>
          </cell>
        </row>
        <row r="1233">
          <cell r="E1233">
            <v>39994</v>
          </cell>
          <cell r="F1233" t="str">
            <v>DBU</v>
          </cell>
        </row>
        <row r="1234">
          <cell r="E1234">
            <v>39994</v>
          </cell>
          <cell r="F1234" t="str">
            <v>DBU</v>
          </cell>
        </row>
        <row r="1235">
          <cell r="E1235">
            <v>39994</v>
          </cell>
          <cell r="F1235" t="str">
            <v>DBU</v>
          </cell>
        </row>
        <row r="1236">
          <cell r="E1236">
            <v>39994</v>
          </cell>
          <cell r="F1236" t="str">
            <v>DBU</v>
          </cell>
        </row>
        <row r="1237">
          <cell r="E1237">
            <v>39994</v>
          </cell>
          <cell r="F1237" t="str">
            <v>DBU</v>
          </cell>
        </row>
        <row r="1238">
          <cell r="E1238">
            <v>39994</v>
          </cell>
          <cell r="F1238" t="str">
            <v>DBU</v>
          </cell>
        </row>
        <row r="1239">
          <cell r="E1239">
            <v>39994</v>
          </cell>
          <cell r="F1239" t="str">
            <v>DBU</v>
          </cell>
        </row>
        <row r="1240">
          <cell r="E1240">
            <v>39994</v>
          </cell>
          <cell r="F1240" t="str">
            <v>DBU</v>
          </cell>
        </row>
        <row r="1241">
          <cell r="E1241">
            <v>39994</v>
          </cell>
          <cell r="F1241" t="str">
            <v>DBU</v>
          </cell>
        </row>
        <row r="1242">
          <cell r="E1242">
            <v>39994</v>
          </cell>
          <cell r="F1242" t="str">
            <v>DBU</v>
          </cell>
        </row>
        <row r="1243">
          <cell r="E1243">
            <v>39994</v>
          </cell>
          <cell r="F1243" t="str">
            <v>DBU</v>
          </cell>
        </row>
        <row r="1244">
          <cell r="E1244">
            <v>39994</v>
          </cell>
          <cell r="F1244" t="str">
            <v>DBU</v>
          </cell>
        </row>
        <row r="1245">
          <cell r="E1245">
            <v>39994</v>
          </cell>
          <cell r="F1245" t="str">
            <v>DBU</v>
          </cell>
        </row>
        <row r="1246">
          <cell r="E1246">
            <v>39994</v>
          </cell>
          <cell r="F1246" t="str">
            <v>DBU</v>
          </cell>
        </row>
        <row r="1247">
          <cell r="E1247">
            <v>39994</v>
          </cell>
          <cell r="F1247" t="str">
            <v>DBU</v>
          </cell>
        </row>
        <row r="1248">
          <cell r="E1248">
            <v>39994</v>
          </cell>
          <cell r="F1248" t="str">
            <v>DBU</v>
          </cell>
        </row>
        <row r="1249">
          <cell r="E1249">
            <v>39994</v>
          </cell>
          <cell r="F1249" t="str">
            <v>DBU</v>
          </cell>
        </row>
        <row r="1250">
          <cell r="E1250">
            <v>39994</v>
          </cell>
          <cell r="F1250" t="str">
            <v>DBU</v>
          </cell>
        </row>
        <row r="1251">
          <cell r="E1251">
            <v>39994</v>
          </cell>
          <cell r="F1251" t="str">
            <v>DBU</v>
          </cell>
        </row>
        <row r="1252">
          <cell r="E1252">
            <v>39994</v>
          </cell>
          <cell r="F1252" t="str">
            <v>DBU</v>
          </cell>
        </row>
        <row r="1253">
          <cell r="E1253">
            <v>39994</v>
          </cell>
          <cell r="F1253" t="str">
            <v>DBU</v>
          </cell>
        </row>
        <row r="1254">
          <cell r="E1254">
            <v>39994</v>
          </cell>
          <cell r="F1254" t="str">
            <v>DBU</v>
          </cell>
        </row>
        <row r="1255">
          <cell r="E1255">
            <v>39994</v>
          </cell>
          <cell r="F1255" t="str">
            <v>DBU</v>
          </cell>
        </row>
        <row r="1256">
          <cell r="E1256">
            <v>39994</v>
          </cell>
          <cell r="F1256" t="str">
            <v>DBU</v>
          </cell>
        </row>
        <row r="1257">
          <cell r="E1257">
            <v>39994</v>
          </cell>
          <cell r="F1257" t="str">
            <v>DBU</v>
          </cell>
        </row>
        <row r="1258">
          <cell r="E1258">
            <v>39994</v>
          </cell>
          <cell r="F1258" t="str">
            <v>DBU</v>
          </cell>
        </row>
        <row r="1259">
          <cell r="E1259">
            <v>39994</v>
          </cell>
          <cell r="F1259" t="str">
            <v>DBU</v>
          </cell>
        </row>
        <row r="1260">
          <cell r="E1260">
            <v>39994</v>
          </cell>
          <cell r="F1260" t="str">
            <v>DBU</v>
          </cell>
        </row>
        <row r="1261">
          <cell r="E1261">
            <v>39994</v>
          </cell>
          <cell r="F1261" t="str">
            <v>DBU</v>
          </cell>
        </row>
        <row r="1262">
          <cell r="E1262">
            <v>39994</v>
          </cell>
          <cell r="F1262" t="str">
            <v>DBU</v>
          </cell>
        </row>
        <row r="1263">
          <cell r="E1263">
            <v>39994</v>
          </cell>
          <cell r="F1263" t="str">
            <v>DBU</v>
          </cell>
        </row>
        <row r="1264">
          <cell r="E1264">
            <v>39994</v>
          </cell>
          <cell r="F1264" t="str">
            <v>DBU</v>
          </cell>
        </row>
        <row r="1265">
          <cell r="E1265">
            <v>39994</v>
          </cell>
          <cell r="F1265" t="str">
            <v>DBU</v>
          </cell>
        </row>
        <row r="1266">
          <cell r="E1266">
            <v>39994</v>
          </cell>
          <cell r="F1266" t="str">
            <v>DBU</v>
          </cell>
        </row>
        <row r="1267">
          <cell r="E1267">
            <v>39994</v>
          </cell>
          <cell r="F1267" t="str">
            <v>DBU</v>
          </cell>
        </row>
        <row r="1268">
          <cell r="E1268">
            <v>39994</v>
          </cell>
          <cell r="F1268" t="str">
            <v>DBU</v>
          </cell>
        </row>
        <row r="1269">
          <cell r="E1269">
            <v>39994</v>
          </cell>
          <cell r="F1269" t="str">
            <v>DBU</v>
          </cell>
        </row>
        <row r="1270">
          <cell r="E1270">
            <v>39994</v>
          </cell>
          <cell r="F1270" t="str">
            <v>DBU</v>
          </cell>
        </row>
        <row r="1271">
          <cell r="E1271">
            <v>39994</v>
          </cell>
          <cell r="F1271" t="str">
            <v>DBU</v>
          </cell>
        </row>
        <row r="1272">
          <cell r="E1272">
            <v>39994</v>
          </cell>
          <cell r="F1272" t="str">
            <v>DBU</v>
          </cell>
        </row>
        <row r="1273">
          <cell r="E1273">
            <v>39994</v>
          </cell>
          <cell r="F1273" t="str">
            <v>DBU</v>
          </cell>
        </row>
        <row r="1274">
          <cell r="E1274">
            <v>39994</v>
          </cell>
          <cell r="F1274" t="str">
            <v>DBU</v>
          </cell>
        </row>
        <row r="1275">
          <cell r="E1275">
            <v>39994</v>
          </cell>
          <cell r="F1275" t="str">
            <v>DBU</v>
          </cell>
        </row>
        <row r="1276">
          <cell r="E1276">
            <v>39994</v>
          </cell>
          <cell r="F1276" t="str">
            <v>DBU</v>
          </cell>
        </row>
        <row r="1277">
          <cell r="E1277">
            <v>39994</v>
          </cell>
          <cell r="F1277" t="str">
            <v>DBU</v>
          </cell>
        </row>
        <row r="1278">
          <cell r="E1278">
            <v>39994</v>
          </cell>
          <cell r="F1278" t="str">
            <v>DBU</v>
          </cell>
        </row>
        <row r="1279">
          <cell r="E1279">
            <v>39994</v>
          </cell>
          <cell r="F1279" t="str">
            <v>DBU</v>
          </cell>
        </row>
        <row r="1280">
          <cell r="E1280">
            <v>39994</v>
          </cell>
          <cell r="F1280" t="str">
            <v>DBU</v>
          </cell>
        </row>
        <row r="1281">
          <cell r="E1281">
            <v>39994</v>
          </cell>
          <cell r="F1281" t="str">
            <v>DBU</v>
          </cell>
        </row>
        <row r="1282">
          <cell r="E1282">
            <v>39994</v>
          </cell>
          <cell r="F1282" t="str">
            <v>DBU</v>
          </cell>
        </row>
        <row r="1283">
          <cell r="E1283">
            <v>39994</v>
          </cell>
          <cell r="F1283" t="str">
            <v>DBU</v>
          </cell>
        </row>
        <row r="1284">
          <cell r="E1284">
            <v>39994</v>
          </cell>
          <cell r="F1284" t="str">
            <v>DBU</v>
          </cell>
        </row>
        <row r="1285">
          <cell r="E1285">
            <v>39994</v>
          </cell>
          <cell r="F1285" t="str">
            <v>DBU</v>
          </cell>
        </row>
        <row r="1286">
          <cell r="E1286">
            <v>39994</v>
          </cell>
          <cell r="F1286" t="str">
            <v>DBU</v>
          </cell>
        </row>
        <row r="1287">
          <cell r="E1287">
            <v>39994</v>
          </cell>
          <cell r="F1287" t="str">
            <v>DBU</v>
          </cell>
        </row>
        <row r="1288">
          <cell r="E1288">
            <v>39994</v>
          </cell>
          <cell r="F1288" t="str">
            <v>DBU</v>
          </cell>
        </row>
        <row r="1289">
          <cell r="E1289">
            <v>39994</v>
          </cell>
          <cell r="F1289" t="str">
            <v>DBU</v>
          </cell>
        </row>
        <row r="1290">
          <cell r="E1290">
            <v>39994</v>
          </cell>
          <cell r="F1290" t="str">
            <v>DBU</v>
          </cell>
        </row>
        <row r="1291">
          <cell r="E1291">
            <v>39994</v>
          </cell>
          <cell r="F1291" t="str">
            <v>DBU</v>
          </cell>
        </row>
        <row r="1292">
          <cell r="E1292">
            <v>39994</v>
          </cell>
          <cell r="F1292" t="str">
            <v>DBU</v>
          </cell>
        </row>
        <row r="1293">
          <cell r="E1293">
            <v>39994</v>
          </cell>
          <cell r="F1293" t="str">
            <v>DBU</v>
          </cell>
        </row>
        <row r="1294">
          <cell r="E1294">
            <v>39994</v>
          </cell>
          <cell r="F1294" t="str">
            <v>DBU</v>
          </cell>
        </row>
        <row r="1295">
          <cell r="E1295">
            <v>39994</v>
          </cell>
          <cell r="F1295" t="str">
            <v>DBU</v>
          </cell>
        </row>
        <row r="1296">
          <cell r="E1296">
            <v>39994</v>
          </cell>
          <cell r="F1296" t="str">
            <v>DBU</v>
          </cell>
        </row>
        <row r="1297">
          <cell r="E1297">
            <v>39994</v>
          </cell>
          <cell r="F1297" t="str">
            <v>DBU</v>
          </cell>
        </row>
        <row r="1298">
          <cell r="E1298">
            <v>39994</v>
          </cell>
          <cell r="F1298" t="str">
            <v>DBU</v>
          </cell>
        </row>
        <row r="1299">
          <cell r="E1299">
            <v>39994</v>
          </cell>
          <cell r="F1299" t="str">
            <v>DBU</v>
          </cell>
        </row>
        <row r="1300">
          <cell r="E1300">
            <v>39994</v>
          </cell>
          <cell r="F1300" t="str">
            <v>DBU</v>
          </cell>
        </row>
        <row r="1301">
          <cell r="E1301">
            <v>39994</v>
          </cell>
          <cell r="F1301" t="str">
            <v>DBU</v>
          </cell>
        </row>
        <row r="1302">
          <cell r="E1302">
            <v>39994</v>
          </cell>
          <cell r="F1302" t="str">
            <v>DBU</v>
          </cell>
        </row>
        <row r="1303">
          <cell r="E1303">
            <v>39994</v>
          </cell>
          <cell r="F1303" t="str">
            <v>DBU</v>
          </cell>
        </row>
        <row r="1304">
          <cell r="E1304">
            <v>39994</v>
          </cell>
          <cell r="F1304" t="str">
            <v>DBU</v>
          </cell>
        </row>
        <row r="1305">
          <cell r="E1305">
            <v>39994</v>
          </cell>
          <cell r="F1305" t="str">
            <v>DBU</v>
          </cell>
        </row>
        <row r="1306">
          <cell r="E1306">
            <v>39994</v>
          </cell>
          <cell r="F1306" t="str">
            <v>DBU</v>
          </cell>
        </row>
        <row r="1307">
          <cell r="E1307">
            <v>39994</v>
          </cell>
          <cell r="F1307" t="str">
            <v>DBU</v>
          </cell>
        </row>
        <row r="1308">
          <cell r="E1308">
            <v>39994</v>
          </cell>
          <cell r="F1308" t="str">
            <v>DBU</v>
          </cell>
        </row>
        <row r="1309">
          <cell r="E1309">
            <v>39994</v>
          </cell>
          <cell r="F1309" t="str">
            <v>DBU</v>
          </cell>
        </row>
        <row r="1310">
          <cell r="E1310">
            <v>39994</v>
          </cell>
          <cell r="F1310" t="str">
            <v>DBU</v>
          </cell>
        </row>
        <row r="1311">
          <cell r="E1311">
            <v>39994</v>
          </cell>
          <cell r="F1311" t="str">
            <v>DBU</v>
          </cell>
        </row>
        <row r="1312">
          <cell r="E1312">
            <v>39994</v>
          </cell>
          <cell r="F1312" t="str">
            <v>DBU</v>
          </cell>
        </row>
        <row r="1313">
          <cell r="E1313">
            <v>39994</v>
          </cell>
          <cell r="F1313" t="str">
            <v>DBU</v>
          </cell>
        </row>
        <row r="1314">
          <cell r="E1314">
            <v>39994</v>
          </cell>
          <cell r="F1314" t="str">
            <v>DBU</v>
          </cell>
        </row>
        <row r="1315">
          <cell r="E1315">
            <v>39994</v>
          </cell>
          <cell r="F1315" t="str">
            <v>DBU</v>
          </cell>
        </row>
        <row r="1316">
          <cell r="E1316">
            <v>39994</v>
          </cell>
          <cell r="F1316" t="str">
            <v>DBU</v>
          </cell>
        </row>
        <row r="1317">
          <cell r="E1317">
            <v>39994</v>
          </cell>
          <cell r="F1317" t="str">
            <v>DBU</v>
          </cell>
        </row>
        <row r="1318">
          <cell r="E1318">
            <v>39994</v>
          </cell>
          <cell r="F1318" t="str">
            <v>DBU</v>
          </cell>
        </row>
        <row r="1319">
          <cell r="E1319">
            <v>39994</v>
          </cell>
          <cell r="F1319" t="str">
            <v>DBU</v>
          </cell>
        </row>
        <row r="1320">
          <cell r="E1320">
            <v>39994</v>
          </cell>
          <cell r="F1320" t="str">
            <v>DBU</v>
          </cell>
        </row>
        <row r="1321">
          <cell r="E1321">
            <v>39994</v>
          </cell>
          <cell r="F1321" t="str">
            <v>DBU</v>
          </cell>
        </row>
        <row r="1322">
          <cell r="E1322">
            <v>39994</v>
          </cell>
          <cell r="F1322" t="str">
            <v>DBU</v>
          </cell>
        </row>
        <row r="1323">
          <cell r="E1323">
            <v>39994</v>
          </cell>
          <cell r="F1323" t="str">
            <v>DBU</v>
          </cell>
        </row>
        <row r="1324">
          <cell r="E1324">
            <v>39994</v>
          </cell>
          <cell r="F1324" t="str">
            <v>DBU</v>
          </cell>
        </row>
        <row r="1325">
          <cell r="E1325">
            <v>39994</v>
          </cell>
          <cell r="F1325" t="str">
            <v>DBU</v>
          </cell>
        </row>
        <row r="1326">
          <cell r="E1326">
            <v>39994</v>
          </cell>
          <cell r="F1326" t="str">
            <v>DBU</v>
          </cell>
        </row>
        <row r="1327">
          <cell r="E1327">
            <v>39994</v>
          </cell>
          <cell r="F1327" t="str">
            <v>DBU</v>
          </cell>
        </row>
        <row r="1328">
          <cell r="E1328">
            <v>39994</v>
          </cell>
          <cell r="F1328" t="str">
            <v>DBU</v>
          </cell>
        </row>
        <row r="1329">
          <cell r="E1329">
            <v>39994</v>
          </cell>
          <cell r="F1329" t="str">
            <v>DBU</v>
          </cell>
        </row>
        <row r="1330">
          <cell r="E1330">
            <v>39994</v>
          </cell>
          <cell r="F1330" t="str">
            <v>DBU</v>
          </cell>
        </row>
        <row r="1331">
          <cell r="E1331">
            <v>39994</v>
          </cell>
          <cell r="F1331" t="str">
            <v>DBU</v>
          </cell>
        </row>
        <row r="1332">
          <cell r="E1332">
            <v>39994</v>
          </cell>
          <cell r="F1332" t="str">
            <v>DBU</v>
          </cell>
        </row>
        <row r="1333">
          <cell r="E1333">
            <v>39994</v>
          </cell>
          <cell r="F1333" t="str">
            <v>DBU</v>
          </cell>
        </row>
        <row r="1334">
          <cell r="E1334">
            <v>39994</v>
          </cell>
          <cell r="F1334" t="str">
            <v>DBU</v>
          </cell>
        </row>
        <row r="1335">
          <cell r="E1335">
            <v>39994</v>
          </cell>
          <cell r="F1335" t="str">
            <v>DBU</v>
          </cell>
        </row>
        <row r="1336">
          <cell r="E1336">
            <v>39994</v>
          </cell>
          <cell r="F1336" t="str">
            <v>DBU</v>
          </cell>
        </row>
        <row r="1337">
          <cell r="E1337">
            <v>39994</v>
          </cell>
          <cell r="F1337" t="str">
            <v>DBU</v>
          </cell>
        </row>
        <row r="1338">
          <cell r="E1338">
            <v>39994</v>
          </cell>
          <cell r="F1338" t="str">
            <v>DBU</v>
          </cell>
        </row>
        <row r="1339">
          <cell r="E1339">
            <v>39994</v>
          </cell>
          <cell r="F1339" t="str">
            <v>DBU</v>
          </cell>
        </row>
        <row r="1340">
          <cell r="E1340">
            <v>39994</v>
          </cell>
          <cell r="F1340" t="str">
            <v>DBU</v>
          </cell>
        </row>
        <row r="1341">
          <cell r="E1341">
            <v>39994</v>
          </cell>
          <cell r="F1341" t="str">
            <v>DBU</v>
          </cell>
        </row>
        <row r="1342">
          <cell r="E1342">
            <v>39994</v>
          </cell>
          <cell r="F1342" t="str">
            <v>DBU</v>
          </cell>
        </row>
        <row r="1343">
          <cell r="E1343">
            <v>39994</v>
          </cell>
          <cell r="F1343" t="str">
            <v>DBU</v>
          </cell>
        </row>
        <row r="1344">
          <cell r="E1344">
            <v>39994</v>
          </cell>
          <cell r="F1344" t="str">
            <v>DBU</v>
          </cell>
        </row>
        <row r="1345">
          <cell r="E1345">
            <v>39994</v>
          </cell>
          <cell r="F1345" t="str">
            <v>DBU</v>
          </cell>
        </row>
        <row r="1346">
          <cell r="E1346">
            <v>39994</v>
          </cell>
          <cell r="F1346" t="str">
            <v>DBU</v>
          </cell>
        </row>
        <row r="1347">
          <cell r="E1347">
            <v>39994</v>
          </cell>
          <cell r="F1347" t="str">
            <v>DBU</v>
          </cell>
        </row>
        <row r="1348">
          <cell r="E1348">
            <v>39994</v>
          </cell>
          <cell r="F1348" t="str">
            <v>DBU</v>
          </cell>
        </row>
        <row r="1349">
          <cell r="E1349">
            <v>39994</v>
          </cell>
          <cell r="F1349" t="str">
            <v>DBU</v>
          </cell>
        </row>
        <row r="1350">
          <cell r="E1350">
            <v>39994</v>
          </cell>
          <cell r="F1350" t="str">
            <v>DBU</v>
          </cell>
        </row>
        <row r="1351">
          <cell r="E1351">
            <v>39994</v>
          </cell>
          <cell r="F1351" t="str">
            <v>DBU</v>
          </cell>
        </row>
        <row r="1352">
          <cell r="E1352">
            <v>39994</v>
          </cell>
          <cell r="F1352" t="str">
            <v>DBU</v>
          </cell>
        </row>
        <row r="1353">
          <cell r="E1353">
            <v>39994</v>
          </cell>
          <cell r="F1353" t="str">
            <v>DBU</v>
          </cell>
        </row>
        <row r="1354">
          <cell r="E1354">
            <v>39994</v>
          </cell>
          <cell r="F1354" t="str">
            <v>DBU</v>
          </cell>
        </row>
        <row r="1355">
          <cell r="E1355">
            <v>39994</v>
          </cell>
          <cell r="F1355" t="str">
            <v>DBU</v>
          </cell>
        </row>
        <row r="1356">
          <cell r="E1356">
            <v>39994</v>
          </cell>
          <cell r="F1356" t="str">
            <v>DBU</v>
          </cell>
        </row>
        <row r="1357">
          <cell r="E1357">
            <v>39994</v>
          </cell>
          <cell r="F1357" t="str">
            <v>DBU</v>
          </cell>
        </row>
        <row r="1358">
          <cell r="E1358">
            <v>39994</v>
          </cell>
          <cell r="F1358" t="str">
            <v>DBU</v>
          </cell>
        </row>
        <row r="1359">
          <cell r="E1359">
            <v>39994</v>
          </cell>
          <cell r="F1359" t="str">
            <v>DBU</v>
          </cell>
        </row>
        <row r="1360">
          <cell r="E1360">
            <v>39994</v>
          </cell>
          <cell r="F1360" t="str">
            <v>DBU</v>
          </cell>
        </row>
        <row r="1361">
          <cell r="E1361">
            <v>39994</v>
          </cell>
          <cell r="F1361" t="str">
            <v>DBU</v>
          </cell>
        </row>
        <row r="1362">
          <cell r="E1362">
            <v>39994</v>
          </cell>
          <cell r="F1362" t="str">
            <v>DBU</v>
          </cell>
        </row>
        <row r="1363">
          <cell r="E1363">
            <v>39994</v>
          </cell>
          <cell r="F1363" t="str">
            <v>DBU</v>
          </cell>
        </row>
        <row r="1364">
          <cell r="E1364">
            <v>39994</v>
          </cell>
          <cell r="F1364" t="str">
            <v>DBU</v>
          </cell>
        </row>
        <row r="1365">
          <cell r="E1365">
            <v>39994</v>
          </cell>
          <cell r="F1365" t="str">
            <v>DBU</v>
          </cell>
        </row>
        <row r="1366">
          <cell r="E1366">
            <v>39994</v>
          </cell>
          <cell r="F1366" t="str">
            <v>DBU</v>
          </cell>
        </row>
        <row r="1367">
          <cell r="E1367">
            <v>39994</v>
          </cell>
          <cell r="F1367" t="str">
            <v>DBU</v>
          </cell>
        </row>
        <row r="1368">
          <cell r="E1368">
            <v>39994</v>
          </cell>
          <cell r="F1368" t="str">
            <v>DBU</v>
          </cell>
        </row>
        <row r="1369">
          <cell r="E1369">
            <v>39994</v>
          </cell>
          <cell r="F1369" t="str">
            <v>DBU</v>
          </cell>
        </row>
        <row r="1370">
          <cell r="E1370">
            <v>39994</v>
          </cell>
          <cell r="F1370" t="str">
            <v>DBU</v>
          </cell>
        </row>
        <row r="1371">
          <cell r="E1371">
            <v>39994</v>
          </cell>
          <cell r="F1371" t="str">
            <v>DBU</v>
          </cell>
        </row>
        <row r="1372">
          <cell r="E1372">
            <v>39994</v>
          </cell>
          <cell r="F1372" t="str">
            <v>DBU</v>
          </cell>
        </row>
        <row r="1373">
          <cell r="E1373">
            <v>39994</v>
          </cell>
          <cell r="F1373" t="str">
            <v>DBU</v>
          </cell>
        </row>
        <row r="1374">
          <cell r="E1374">
            <v>39994</v>
          </cell>
          <cell r="F1374" t="str">
            <v>DBU</v>
          </cell>
        </row>
        <row r="1375">
          <cell r="E1375">
            <v>39994</v>
          </cell>
          <cell r="F1375" t="str">
            <v>DBU</v>
          </cell>
        </row>
        <row r="1376">
          <cell r="E1376">
            <v>39994</v>
          </cell>
          <cell r="F1376" t="str">
            <v>DBU</v>
          </cell>
        </row>
        <row r="1377">
          <cell r="E1377">
            <v>39994</v>
          </cell>
          <cell r="F1377" t="str">
            <v>DBU</v>
          </cell>
        </row>
        <row r="1378">
          <cell r="E1378">
            <v>39994</v>
          </cell>
          <cell r="F1378" t="str">
            <v>DBU</v>
          </cell>
        </row>
        <row r="1379">
          <cell r="E1379">
            <v>39994</v>
          </cell>
          <cell r="F1379" t="str">
            <v>DBU</v>
          </cell>
        </row>
        <row r="1380">
          <cell r="E1380">
            <v>39994</v>
          </cell>
          <cell r="F1380" t="str">
            <v>DBU</v>
          </cell>
        </row>
        <row r="1381">
          <cell r="E1381">
            <v>39994</v>
          </cell>
          <cell r="F1381" t="str">
            <v>DBU</v>
          </cell>
        </row>
        <row r="1382">
          <cell r="E1382">
            <v>39994</v>
          </cell>
          <cell r="F1382" t="str">
            <v>DBU</v>
          </cell>
        </row>
        <row r="1383">
          <cell r="E1383">
            <v>39994</v>
          </cell>
          <cell r="F1383" t="str">
            <v>DBU</v>
          </cell>
        </row>
        <row r="1384">
          <cell r="E1384">
            <v>39994</v>
          </cell>
          <cell r="F1384" t="str">
            <v>DBU</v>
          </cell>
        </row>
        <row r="1385">
          <cell r="E1385">
            <v>39994</v>
          </cell>
          <cell r="F1385" t="str">
            <v>DBU</v>
          </cell>
        </row>
        <row r="1386">
          <cell r="E1386">
            <v>39994</v>
          </cell>
          <cell r="F1386" t="str">
            <v>DBU</v>
          </cell>
        </row>
        <row r="1387">
          <cell r="E1387">
            <v>39994</v>
          </cell>
          <cell r="F1387" t="str">
            <v>DBU</v>
          </cell>
        </row>
        <row r="1388">
          <cell r="E1388">
            <v>39994</v>
          </cell>
          <cell r="F1388" t="str">
            <v>DBU</v>
          </cell>
        </row>
        <row r="1389">
          <cell r="E1389">
            <v>39994</v>
          </cell>
          <cell r="F1389" t="str">
            <v>DBU</v>
          </cell>
        </row>
        <row r="1390">
          <cell r="E1390">
            <v>39994</v>
          </cell>
          <cell r="F1390" t="str">
            <v>DBU</v>
          </cell>
        </row>
        <row r="1391">
          <cell r="E1391">
            <v>39994</v>
          </cell>
          <cell r="F1391" t="str">
            <v>DBU</v>
          </cell>
        </row>
        <row r="1392">
          <cell r="E1392">
            <v>39994</v>
          </cell>
          <cell r="F1392" t="str">
            <v>DBU</v>
          </cell>
        </row>
        <row r="1393">
          <cell r="E1393">
            <v>39994</v>
          </cell>
          <cell r="F1393" t="str">
            <v>DBU</v>
          </cell>
        </row>
        <row r="1394">
          <cell r="E1394">
            <v>39994</v>
          </cell>
          <cell r="F1394" t="str">
            <v>DBU</v>
          </cell>
        </row>
        <row r="1395">
          <cell r="E1395">
            <v>39994</v>
          </cell>
          <cell r="F1395" t="str">
            <v>DBU</v>
          </cell>
        </row>
        <row r="1396">
          <cell r="E1396">
            <v>39994</v>
          </cell>
          <cell r="F1396" t="str">
            <v>DBU</v>
          </cell>
        </row>
        <row r="1397">
          <cell r="E1397">
            <v>39994</v>
          </cell>
          <cell r="F1397" t="str">
            <v>DBU</v>
          </cell>
        </row>
        <row r="1398">
          <cell r="E1398">
            <v>39994</v>
          </cell>
          <cell r="F1398" t="str">
            <v>DBU</v>
          </cell>
        </row>
        <row r="1399">
          <cell r="E1399">
            <v>39994</v>
          </cell>
          <cell r="F1399" t="str">
            <v>DBU</v>
          </cell>
        </row>
        <row r="1400">
          <cell r="E1400">
            <v>39994</v>
          </cell>
          <cell r="F1400" t="str">
            <v>DBU</v>
          </cell>
        </row>
        <row r="1401">
          <cell r="E1401">
            <v>39994</v>
          </cell>
          <cell r="F1401" t="str">
            <v>DBU</v>
          </cell>
        </row>
        <row r="1402">
          <cell r="E1402">
            <v>39994</v>
          </cell>
          <cell r="F1402" t="str">
            <v>DBU</v>
          </cell>
        </row>
        <row r="1403">
          <cell r="E1403">
            <v>39994</v>
          </cell>
          <cell r="F1403" t="str">
            <v>DBU</v>
          </cell>
        </row>
        <row r="1404">
          <cell r="E1404">
            <v>39994</v>
          </cell>
          <cell r="F1404" t="str">
            <v>DBU</v>
          </cell>
        </row>
        <row r="1405">
          <cell r="E1405">
            <v>39994</v>
          </cell>
          <cell r="F1405" t="str">
            <v>DBU</v>
          </cell>
        </row>
        <row r="1406">
          <cell r="E1406">
            <v>39994</v>
          </cell>
          <cell r="F1406" t="str">
            <v>DBU</v>
          </cell>
        </row>
        <row r="1407">
          <cell r="E1407">
            <v>39994</v>
          </cell>
          <cell r="F1407" t="str">
            <v>DBU</v>
          </cell>
        </row>
        <row r="1408">
          <cell r="E1408">
            <v>39994</v>
          </cell>
          <cell r="F1408" t="str">
            <v>DBU</v>
          </cell>
        </row>
        <row r="1409">
          <cell r="E1409">
            <v>39994</v>
          </cell>
          <cell r="F1409" t="str">
            <v>DBU</v>
          </cell>
        </row>
        <row r="1410">
          <cell r="E1410">
            <v>39994</v>
          </cell>
          <cell r="F1410" t="str">
            <v>DBU</v>
          </cell>
        </row>
        <row r="1411">
          <cell r="E1411">
            <v>39994</v>
          </cell>
          <cell r="F1411" t="str">
            <v>DBU</v>
          </cell>
        </row>
        <row r="1412">
          <cell r="E1412">
            <v>39994</v>
          </cell>
          <cell r="F1412" t="str">
            <v>DBU</v>
          </cell>
        </row>
        <row r="1413">
          <cell r="E1413">
            <v>39994</v>
          </cell>
          <cell r="F1413" t="str">
            <v>DBU</v>
          </cell>
        </row>
        <row r="1414">
          <cell r="E1414">
            <v>39994</v>
          </cell>
          <cell r="F1414" t="str">
            <v>DBU</v>
          </cell>
        </row>
        <row r="1415">
          <cell r="E1415">
            <v>39994</v>
          </cell>
          <cell r="F1415" t="str">
            <v>DBU</v>
          </cell>
        </row>
        <row r="1416">
          <cell r="E1416">
            <v>39994</v>
          </cell>
          <cell r="F1416" t="str">
            <v>DBU</v>
          </cell>
        </row>
        <row r="1417">
          <cell r="E1417">
            <v>39994</v>
          </cell>
          <cell r="F1417" t="str">
            <v>DBU</v>
          </cell>
        </row>
        <row r="1418">
          <cell r="E1418">
            <v>39994</v>
          </cell>
          <cell r="F1418" t="str">
            <v>DBU</v>
          </cell>
        </row>
        <row r="1419">
          <cell r="E1419">
            <v>39994</v>
          </cell>
          <cell r="F1419" t="str">
            <v>DBU</v>
          </cell>
        </row>
        <row r="1420">
          <cell r="E1420">
            <v>39994</v>
          </cell>
          <cell r="F1420" t="str">
            <v>DBU</v>
          </cell>
        </row>
        <row r="1421">
          <cell r="E1421">
            <v>39994</v>
          </cell>
          <cell r="F1421" t="str">
            <v>DBU</v>
          </cell>
        </row>
        <row r="1422">
          <cell r="E1422">
            <v>39994</v>
          </cell>
          <cell r="F1422" t="str">
            <v>DBU</v>
          </cell>
        </row>
        <row r="1423">
          <cell r="E1423">
            <v>39994</v>
          </cell>
          <cell r="F1423" t="str">
            <v>DBU</v>
          </cell>
        </row>
        <row r="1424">
          <cell r="E1424">
            <v>39994</v>
          </cell>
          <cell r="F1424" t="str">
            <v>DBU</v>
          </cell>
        </row>
        <row r="1425">
          <cell r="E1425">
            <v>39994</v>
          </cell>
          <cell r="F1425" t="str">
            <v>DBU</v>
          </cell>
        </row>
        <row r="1426">
          <cell r="E1426">
            <v>39994</v>
          </cell>
          <cell r="F1426" t="str">
            <v>DBU</v>
          </cell>
        </row>
        <row r="1427">
          <cell r="E1427">
            <v>39994</v>
          </cell>
          <cell r="F1427" t="str">
            <v>DBU</v>
          </cell>
        </row>
        <row r="1428">
          <cell r="E1428">
            <v>39994</v>
          </cell>
          <cell r="F1428" t="str">
            <v>DBU</v>
          </cell>
        </row>
        <row r="1429">
          <cell r="E1429">
            <v>39994</v>
          </cell>
          <cell r="F1429" t="str">
            <v>DBU</v>
          </cell>
        </row>
        <row r="1430">
          <cell r="E1430">
            <v>39994</v>
          </cell>
          <cell r="F1430" t="str">
            <v>DBU</v>
          </cell>
        </row>
        <row r="1431">
          <cell r="E1431">
            <v>39994</v>
          </cell>
          <cell r="F1431" t="str">
            <v>DBU</v>
          </cell>
        </row>
        <row r="1432">
          <cell r="E1432">
            <v>39994</v>
          </cell>
          <cell r="F1432" t="str">
            <v>DBU</v>
          </cell>
        </row>
        <row r="1433">
          <cell r="E1433">
            <v>39994</v>
          </cell>
          <cell r="F1433" t="str">
            <v>DBU</v>
          </cell>
        </row>
        <row r="1434">
          <cell r="E1434">
            <v>39994</v>
          </cell>
          <cell r="F1434" t="str">
            <v>DBU</v>
          </cell>
        </row>
        <row r="1435">
          <cell r="E1435">
            <v>39994</v>
          </cell>
          <cell r="F1435" t="str">
            <v>DBU</v>
          </cell>
        </row>
        <row r="1436">
          <cell r="E1436">
            <v>39994</v>
          </cell>
          <cell r="F1436" t="str">
            <v>DBU</v>
          </cell>
        </row>
        <row r="1437">
          <cell r="E1437">
            <v>39994</v>
          </cell>
          <cell r="F1437" t="str">
            <v>DBU</v>
          </cell>
        </row>
        <row r="1438">
          <cell r="E1438">
            <v>39994</v>
          </cell>
          <cell r="F1438" t="str">
            <v>DBU</v>
          </cell>
        </row>
        <row r="1439">
          <cell r="E1439">
            <v>39994</v>
          </cell>
          <cell r="F1439" t="str">
            <v>DBU</v>
          </cell>
        </row>
        <row r="1440">
          <cell r="E1440">
            <v>39994</v>
          </cell>
          <cell r="F1440" t="str">
            <v>DBU</v>
          </cell>
        </row>
        <row r="1441">
          <cell r="E1441">
            <v>39994</v>
          </cell>
          <cell r="F1441" t="str">
            <v>DBU</v>
          </cell>
        </row>
        <row r="1442">
          <cell r="E1442">
            <v>39994</v>
          </cell>
          <cell r="F1442" t="str">
            <v>DBU</v>
          </cell>
        </row>
        <row r="1443">
          <cell r="E1443">
            <v>39994</v>
          </cell>
          <cell r="F1443" t="str">
            <v>DBU</v>
          </cell>
        </row>
        <row r="1444">
          <cell r="E1444">
            <v>39994</v>
          </cell>
          <cell r="F1444" t="str">
            <v>DBU</v>
          </cell>
        </row>
        <row r="1445">
          <cell r="E1445">
            <v>39994</v>
          </cell>
          <cell r="F1445" t="str">
            <v>DBU</v>
          </cell>
        </row>
        <row r="1446">
          <cell r="E1446">
            <v>39994</v>
          </cell>
          <cell r="F1446" t="str">
            <v>DBU</v>
          </cell>
        </row>
        <row r="1447">
          <cell r="E1447">
            <v>39994</v>
          </cell>
          <cell r="F1447" t="str">
            <v>DBU</v>
          </cell>
        </row>
        <row r="1448">
          <cell r="E1448">
            <v>39994</v>
          </cell>
          <cell r="F1448" t="str">
            <v>DBU</v>
          </cell>
        </row>
        <row r="1449">
          <cell r="E1449">
            <v>39994</v>
          </cell>
          <cell r="F1449" t="str">
            <v>DBU</v>
          </cell>
        </row>
        <row r="1450">
          <cell r="E1450">
            <v>39994</v>
          </cell>
          <cell r="F1450" t="str">
            <v>DBU</v>
          </cell>
        </row>
        <row r="1451">
          <cell r="E1451">
            <v>39994</v>
          </cell>
          <cell r="F1451" t="str">
            <v>DBU</v>
          </cell>
        </row>
        <row r="1452">
          <cell r="E1452">
            <v>39994</v>
          </cell>
          <cell r="F1452" t="str">
            <v>DBU</v>
          </cell>
        </row>
        <row r="1453">
          <cell r="E1453">
            <v>39994</v>
          </cell>
          <cell r="F1453" t="str">
            <v>DBU</v>
          </cell>
        </row>
        <row r="1454">
          <cell r="E1454">
            <v>39994</v>
          </cell>
          <cell r="F1454" t="str">
            <v>DBU</v>
          </cell>
        </row>
        <row r="1455">
          <cell r="E1455">
            <v>39994</v>
          </cell>
          <cell r="F1455" t="str">
            <v>DBU</v>
          </cell>
        </row>
        <row r="1456">
          <cell r="E1456">
            <v>39994</v>
          </cell>
          <cell r="F1456" t="str">
            <v>DBU</v>
          </cell>
        </row>
        <row r="1457">
          <cell r="E1457">
            <v>39994</v>
          </cell>
          <cell r="F1457" t="str">
            <v>DBU</v>
          </cell>
        </row>
        <row r="1458">
          <cell r="E1458">
            <v>39994</v>
          </cell>
          <cell r="F1458" t="str">
            <v>DBU</v>
          </cell>
        </row>
        <row r="1459">
          <cell r="E1459">
            <v>39994</v>
          </cell>
          <cell r="F1459" t="str">
            <v>DBU</v>
          </cell>
        </row>
        <row r="1460">
          <cell r="E1460">
            <v>39994</v>
          </cell>
          <cell r="F1460" t="str">
            <v>DBU</v>
          </cell>
        </row>
        <row r="1461">
          <cell r="E1461">
            <v>39994</v>
          </cell>
          <cell r="F1461" t="str">
            <v>DBU</v>
          </cell>
        </row>
        <row r="1462">
          <cell r="E1462">
            <v>39994</v>
          </cell>
          <cell r="F1462" t="str">
            <v>DBU</v>
          </cell>
        </row>
        <row r="1463">
          <cell r="E1463">
            <v>39994</v>
          </cell>
          <cell r="F1463" t="str">
            <v>DBU</v>
          </cell>
        </row>
        <row r="1464">
          <cell r="E1464">
            <v>39994</v>
          </cell>
          <cell r="F1464" t="str">
            <v>DBU</v>
          </cell>
        </row>
        <row r="1465">
          <cell r="E1465">
            <v>39994</v>
          </cell>
          <cell r="F1465" t="str">
            <v>DBU</v>
          </cell>
        </row>
        <row r="1466">
          <cell r="E1466">
            <v>39994</v>
          </cell>
          <cell r="F1466" t="str">
            <v>DBU</v>
          </cell>
        </row>
        <row r="1467">
          <cell r="E1467">
            <v>39994</v>
          </cell>
          <cell r="F1467" t="str">
            <v>DBU</v>
          </cell>
        </row>
        <row r="1468">
          <cell r="E1468">
            <v>39994</v>
          </cell>
          <cell r="F1468" t="str">
            <v>DBU</v>
          </cell>
        </row>
        <row r="1469">
          <cell r="E1469">
            <v>39994</v>
          </cell>
          <cell r="F1469" t="str">
            <v>DBU</v>
          </cell>
        </row>
        <row r="1470">
          <cell r="E1470">
            <v>39994</v>
          </cell>
          <cell r="F1470" t="str">
            <v>DBU</v>
          </cell>
        </row>
        <row r="1471">
          <cell r="E1471">
            <v>39994</v>
          </cell>
          <cell r="F1471" t="str">
            <v>DBU</v>
          </cell>
        </row>
        <row r="1472">
          <cell r="E1472">
            <v>39994</v>
          </cell>
          <cell r="F1472" t="str">
            <v>DBU</v>
          </cell>
        </row>
        <row r="1473">
          <cell r="E1473">
            <v>39994</v>
          </cell>
          <cell r="F1473" t="str">
            <v>DBU</v>
          </cell>
        </row>
        <row r="1474">
          <cell r="E1474">
            <v>39994</v>
          </cell>
          <cell r="F1474" t="str">
            <v>DBU</v>
          </cell>
        </row>
        <row r="1475">
          <cell r="E1475">
            <v>39994</v>
          </cell>
          <cell r="F1475" t="str">
            <v>DBU</v>
          </cell>
        </row>
        <row r="1476">
          <cell r="E1476">
            <v>39994</v>
          </cell>
          <cell r="F1476" t="str">
            <v>DBU</v>
          </cell>
        </row>
        <row r="1477">
          <cell r="E1477">
            <v>39994</v>
          </cell>
          <cell r="F1477" t="str">
            <v>DBU</v>
          </cell>
        </row>
        <row r="1478">
          <cell r="E1478">
            <v>39994</v>
          </cell>
          <cell r="F1478" t="str">
            <v>DBU</v>
          </cell>
        </row>
        <row r="1479">
          <cell r="E1479">
            <v>39994</v>
          </cell>
          <cell r="F1479" t="str">
            <v>DBU</v>
          </cell>
        </row>
        <row r="1480">
          <cell r="E1480">
            <v>39994</v>
          </cell>
          <cell r="F1480" t="str">
            <v>DBU</v>
          </cell>
        </row>
        <row r="1481">
          <cell r="E1481">
            <v>39994</v>
          </cell>
          <cell r="F1481" t="str">
            <v>DBU</v>
          </cell>
        </row>
        <row r="1482">
          <cell r="E1482">
            <v>39994</v>
          </cell>
          <cell r="F1482" t="str">
            <v>DBU</v>
          </cell>
        </row>
        <row r="1483">
          <cell r="E1483">
            <v>39994</v>
          </cell>
          <cell r="F1483" t="str">
            <v>DBU</v>
          </cell>
        </row>
        <row r="1484">
          <cell r="E1484">
            <v>39994</v>
          </cell>
          <cell r="F1484" t="str">
            <v>DBU</v>
          </cell>
        </row>
        <row r="1485">
          <cell r="E1485">
            <v>39994</v>
          </cell>
          <cell r="F1485" t="str">
            <v>DBU</v>
          </cell>
        </row>
        <row r="1486">
          <cell r="E1486">
            <v>39994</v>
          </cell>
          <cell r="F1486" t="str">
            <v>DBU</v>
          </cell>
        </row>
        <row r="1487">
          <cell r="E1487">
            <v>39994</v>
          </cell>
          <cell r="F1487" t="str">
            <v>DBU</v>
          </cell>
        </row>
        <row r="1488">
          <cell r="E1488">
            <v>39994</v>
          </cell>
          <cell r="F1488" t="str">
            <v>DBU</v>
          </cell>
        </row>
        <row r="1489">
          <cell r="E1489">
            <v>39994</v>
          </cell>
          <cell r="F1489" t="str">
            <v>DBU</v>
          </cell>
        </row>
        <row r="1490">
          <cell r="E1490">
            <v>39994</v>
          </cell>
          <cell r="F1490" t="str">
            <v>DBU</v>
          </cell>
        </row>
        <row r="1491">
          <cell r="E1491">
            <v>39994</v>
          </cell>
          <cell r="F1491" t="str">
            <v>DBU</v>
          </cell>
        </row>
        <row r="1492">
          <cell r="E1492">
            <v>39994</v>
          </cell>
          <cell r="F1492" t="str">
            <v>DBU</v>
          </cell>
        </row>
        <row r="1493">
          <cell r="E1493">
            <v>39994</v>
          </cell>
          <cell r="F1493" t="str">
            <v>DBU</v>
          </cell>
        </row>
        <row r="1494">
          <cell r="E1494">
            <v>39994</v>
          </cell>
          <cell r="F1494" t="str">
            <v>DBU</v>
          </cell>
        </row>
        <row r="1495">
          <cell r="E1495">
            <v>39994</v>
          </cell>
          <cell r="F1495" t="str">
            <v>DBU</v>
          </cell>
        </row>
        <row r="1496">
          <cell r="E1496">
            <v>39994</v>
          </cell>
          <cell r="F1496" t="str">
            <v>DBU</v>
          </cell>
        </row>
        <row r="1497">
          <cell r="E1497">
            <v>39994</v>
          </cell>
          <cell r="F1497" t="str">
            <v>DBU</v>
          </cell>
        </row>
        <row r="1498">
          <cell r="E1498">
            <v>39994</v>
          </cell>
          <cell r="F1498" t="str">
            <v>DBU</v>
          </cell>
        </row>
        <row r="1499">
          <cell r="E1499">
            <v>39994</v>
          </cell>
          <cell r="F1499" t="str">
            <v>DBU</v>
          </cell>
        </row>
        <row r="1500">
          <cell r="E1500">
            <v>39994</v>
          </cell>
          <cell r="F1500" t="str">
            <v>DBU</v>
          </cell>
        </row>
        <row r="1501">
          <cell r="E1501">
            <v>39994</v>
          </cell>
          <cell r="F1501" t="str">
            <v>DBU</v>
          </cell>
        </row>
        <row r="1502">
          <cell r="E1502">
            <v>39994</v>
          </cell>
          <cell r="F1502" t="str">
            <v>DBU</v>
          </cell>
        </row>
        <row r="1503">
          <cell r="E1503">
            <v>39994</v>
          </cell>
          <cell r="F1503" t="str">
            <v>DBU</v>
          </cell>
        </row>
        <row r="1504">
          <cell r="E1504">
            <v>39994</v>
          </cell>
          <cell r="F1504" t="str">
            <v>DBU</v>
          </cell>
        </row>
        <row r="1505">
          <cell r="E1505">
            <v>39994</v>
          </cell>
          <cell r="F1505" t="str">
            <v>DBU</v>
          </cell>
        </row>
        <row r="1506">
          <cell r="E1506">
            <v>39994</v>
          </cell>
          <cell r="F1506" t="str">
            <v>DBU</v>
          </cell>
        </row>
        <row r="1507">
          <cell r="E1507">
            <v>39994</v>
          </cell>
          <cell r="F1507" t="str">
            <v>DBU</v>
          </cell>
        </row>
        <row r="1508">
          <cell r="E1508">
            <v>39994</v>
          </cell>
          <cell r="F1508" t="str">
            <v>DBU</v>
          </cell>
        </row>
        <row r="1509">
          <cell r="E1509">
            <v>39994</v>
          </cell>
          <cell r="F1509" t="str">
            <v>DBU</v>
          </cell>
        </row>
        <row r="1510">
          <cell r="E1510">
            <v>39994</v>
          </cell>
          <cell r="F1510" t="str">
            <v>DBU</v>
          </cell>
        </row>
        <row r="1511">
          <cell r="E1511">
            <v>39994</v>
          </cell>
          <cell r="F1511" t="str">
            <v>DBU</v>
          </cell>
        </row>
        <row r="1512">
          <cell r="E1512">
            <v>39994</v>
          </cell>
          <cell r="F1512" t="str">
            <v>DBU</v>
          </cell>
        </row>
        <row r="1513">
          <cell r="E1513">
            <v>39994</v>
          </cell>
          <cell r="F1513" t="str">
            <v>DBU</v>
          </cell>
        </row>
        <row r="1514">
          <cell r="E1514">
            <v>39994</v>
          </cell>
          <cell r="F1514" t="str">
            <v>DBU</v>
          </cell>
        </row>
        <row r="1515">
          <cell r="E1515">
            <v>39994</v>
          </cell>
          <cell r="F1515" t="str">
            <v>DBU</v>
          </cell>
        </row>
        <row r="1516">
          <cell r="E1516">
            <v>39994</v>
          </cell>
          <cell r="F1516" t="str">
            <v>DBU</v>
          </cell>
        </row>
        <row r="1517">
          <cell r="E1517">
            <v>39994</v>
          </cell>
          <cell r="F1517" t="str">
            <v>DBU</v>
          </cell>
        </row>
        <row r="1518">
          <cell r="E1518">
            <v>39994</v>
          </cell>
          <cell r="F1518" t="str">
            <v>DBU</v>
          </cell>
        </row>
        <row r="1519">
          <cell r="E1519">
            <v>39994</v>
          </cell>
          <cell r="F1519" t="str">
            <v>DBU</v>
          </cell>
        </row>
        <row r="1520">
          <cell r="E1520">
            <v>39994</v>
          </cell>
          <cell r="F1520" t="str">
            <v>DBU</v>
          </cell>
        </row>
        <row r="1521">
          <cell r="E1521">
            <v>39994</v>
          </cell>
          <cell r="F1521" t="str">
            <v>DBU</v>
          </cell>
        </row>
        <row r="1522">
          <cell r="E1522">
            <v>39994</v>
          </cell>
          <cell r="F1522" t="str">
            <v>DBU</v>
          </cell>
        </row>
        <row r="1523">
          <cell r="E1523">
            <v>39994</v>
          </cell>
          <cell r="F1523" t="str">
            <v>DBU</v>
          </cell>
        </row>
        <row r="1524">
          <cell r="E1524">
            <v>39994</v>
          </cell>
          <cell r="F1524" t="str">
            <v>DBU</v>
          </cell>
        </row>
        <row r="1525">
          <cell r="E1525">
            <v>39994</v>
          </cell>
          <cell r="F1525" t="str">
            <v>DBU</v>
          </cell>
        </row>
        <row r="1526">
          <cell r="E1526">
            <v>39994</v>
          </cell>
          <cell r="F1526" t="str">
            <v>DBU</v>
          </cell>
        </row>
        <row r="1527">
          <cell r="E1527">
            <v>39994</v>
          </cell>
          <cell r="F1527" t="str">
            <v>DBU</v>
          </cell>
        </row>
        <row r="1528">
          <cell r="E1528">
            <v>39994</v>
          </cell>
          <cell r="F1528" t="str">
            <v>DBU</v>
          </cell>
        </row>
        <row r="1529">
          <cell r="E1529">
            <v>39994</v>
          </cell>
          <cell r="F1529" t="str">
            <v>DBU</v>
          </cell>
        </row>
        <row r="1530">
          <cell r="E1530">
            <v>39994</v>
          </cell>
          <cell r="F1530" t="str">
            <v>DBU</v>
          </cell>
        </row>
        <row r="1531">
          <cell r="E1531">
            <v>39994</v>
          </cell>
          <cell r="F1531" t="str">
            <v>DBU</v>
          </cell>
        </row>
        <row r="1532">
          <cell r="E1532">
            <v>39994</v>
          </cell>
          <cell r="F1532" t="str">
            <v>DBU</v>
          </cell>
        </row>
        <row r="1533">
          <cell r="E1533">
            <v>39994</v>
          </cell>
          <cell r="F1533" t="str">
            <v>DBU</v>
          </cell>
        </row>
        <row r="1534">
          <cell r="E1534">
            <v>39994</v>
          </cell>
          <cell r="F1534" t="str">
            <v>DBU</v>
          </cell>
        </row>
        <row r="1535">
          <cell r="E1535">
            <v>39994</v>
          </cell>
          <cell r="F1535" t="str">
            <v>DBU</v>
          </cell>
        </row>
        <row r="1536">
          <cell r="E1536">
            <v>39994</v>
          </cell>
          <cell r="F1536" t="str">
            <v>DBU</v>
          </cell>
        </row>
        <row r="1537">
          <cell r="E1537">
            <v>39994</v>
          </cell>
          <cell r="F1537" t="str">
            <v>DBU</v>
          </cell>
        </row>
        <row r="1538">
          <cell r="E1538">
            <v>39994</v>
          </cell>
          <cell r="F1538" t="str">
            <v>DBU</v>
          </cell>
        </row>
        <row r="1539">
          <cell r="E1539">
            <v>39994</v>
          </cell>
          <cell r="F1539" t="str">
            <v>DBU</v>
          </cell>
        </row>
        <row r="1540">
          <cell r="E1540">
            <v>39994</v>
          </cell>
          <cell r="F1540" t="str">
            <v>DBU</v>
          </cell>
        </row>
        <row r="1541">
          <cell r="E1541">
            <v>39994</v>
          </cell>
          <cell r="F1541" t="str">
            <v>DBU</v>
          </cell>
        </row>
        <row r="1542">
          <cell r="E1542">
            <v>39994</v>
          </cell>
          <cell r="F1542" t="str">
            <v>DBU</v>
          </cell>
        </row>
        <row r="1543">
          <cell r="E1543">
            <v>39994</v>
          </cell>
          <cell r="F1543" t="str">
            <v>DBU</v>
          </cell>
        </row>
        <row r="1544">
          <cell r="E1544">
            <v>39994</v>
          </cell>
          <cell r="F1544" t="str">
            <v>DBU</v>
          </cell>
        </row>
        <row r="1545">
          <cell r="E1545">
            <v>39994</v>
          </cell>
          <cell r="F1545" t="str">
            <v>DBU</v>
          </cell>
        </row>
        <row r="1546">
          <cell r="E1546">
            <v>39994</v>
          </cell>
          <cell r="F1546" t="str">
            <v>DBU</v>
          </cell>
        </row>
        <row r="1547">
          <cell r="E1547">
            <v>39994</v>
          </cell>
          <cell r="F1547" t="str">
            <v>DBU</v>
          </cell>
        </row>
        <row r="1548">
          <cell r="E1548">
            <v>39994</v>
          </cell>
          <cell r="F1548" t="str">
            <v>DBU</v>
          </cell>
        </row>
        <row r="1549">
          <cell r="E1549">
            <v>39994</v>
          </cell>
          <cell r="F1549" t="str">
            <v>DBU</v>
          </cell>
        </row>
        <row r="1550">
          <cell r="E1550">
            <v>39994</v>
          </cell>
          <cell r="F1550" t="str">
            <v>DBU</v>
          </cell>
        </row>
        <row r="1551">
          <cell r="E1551">
            <v>39994</v>
          </cell>
          <cell r="F1551" t="str">
            <v>DBU</v>
          </cell>
        </row>
        <row r="1552">
          <cell r="E1552">
            <v>39994</v>
          </cell>
          <cell r="F1552" t="str">
            <v>DBU</v>
          </cell>
        </row>
        <row r="1553">
          <cell r="E1553">
            <v>39994</v>
          </cell>
          <cell r="F1553" t="str">
            <v>DBU</v>
          </cell>
        </row>
        <row r="1554">
          <cell r="E1554">
            <v>39994</v>
          </cell>
          <cell r="F1554" t="str">
            <v>DBU</v>
          </cell>
        </row>
        <row r="1555">
          <cell r="E1555">
            <v>39994</v>
          </cell>
          <cell r="F1555" t="str">
            <v>DBU</v>
          </cell>
        </row>
        <row r="1556">
          <cell r="E1556">
            <v>39994</v>
          </cell>
          <cell r="F1556" t="str">
            <v>DBU</v>
          </cell>
        </row>
        <row r="1557">
          <cell r="E1557">
            <v>39994</v>
          </cell>
          <cell r="F1557" t="str">
            <v>DBU</v>
          </cell>
        </row>
        <row r="1558">
          <cell r="E1558">
            <v>39994</v>
          </cell>
          <cell r="F1558" t="str">
            <v>DBU</v>
          </cell>
        </row>
        <row r="1559">
          <cell r="E1559">
            <v>39994</v>
          </cell>
          <cell r="F1559" t="str">
            <v>DBU</v>
          </cell>
        </row>
        <row r="1560">
          <cell r="E1560">
            <v>39994</v>
          </cell>
          <cell r="F1560" t="str">
            <v>DBU</v>
          </cell>
        </row>
        <row r="1561">
          <cell r="E1561">
            <v>39994</v>
          </cell>
          <cell r="F1561" t="str">
            <v>DBU</v>
          </cell>
        </row>
        <row r="1562">
          <cell r="E1562">
            <v>39994</v>
          </cell>
          <cell r="F1562" t="str">
            <v>DBU</v>
          </cell>
        </row>
        <row r="1563">
          <cell r="E1563">
            <v>39994</v>
          </cell>
          <cell r="F1563" t="str">
            <v>DBU</v>
          </cell>
        </row>
        <row r="1564">
          <cell r="E1564">
            <v>39994</v>
          </cell>
          <cell r="F1564" t="str">
            <v>DBU</v>
          </cell>
        </row>
        <row r="1565">
          <cell r="E1565">
            <v>39994</v>
          </cell>
          <cell r="F1565" t="str">
            <v>DBU</v>
          </cell>
        </row>
        <row r="1566">
          <cell r="E1566">
            <v>39994</v>
          </cell>
          <cell r="F1566" t="str">
            <v>DBU</v>
          </cell>
        </row>
        <row r="1567">
          <cell r="E1567">
            <v>39994</v>
          </cell>
          <cell r="F1567" t="str">
            <v>DBU</v>
          </cell>
        </row>
        <row r="1568">
          <cell r="E1568">
            <v>39994</v>
          </cell>
          <cell r="F1568" t="str">
            <v>DBU</v>
          </cell>
        </row>
        <row r="1569">
          <cell r="E1569">
            <v>39994</v>
          </cell>
          <cell r="F1569" t="str">
            <v>DBU</v>
          </cell>
        </row>
        <row r="1570">
          <cell r="E1570">
            <v>39994</v>
          </cell>
          <cell r="F1570" t="str">
            <v>DBU</v>
          </cell>
        </row>
        <row r="1571">
          <cell r="E1571">
            <v>39994</v>
          </cell>
          <cell r="F1571" t="str">
            <v>DBU</v>
          </cell>
        </row>
        <row r="1572">
          <cell r="E1572">
            <v>39994</v>
          </cell>
          <cell r="F1572" t="str">
            <v>DBU</v>
          </cell>
        </row>
        <row r="1573">
          <cell r="E1573">
            <v>39994</v>
          </cell>
          <cell r="F1573" t="str">
            <v>DBU</v>
          </cell>
        </row>
        <row r="1574">
          <cell r="E1574">
            <v>39994</v>
          </cell>
          <cell r="F1574" t="str">
            <v>DBU</v>
          </cell>
        </row>
        <row r="1575">
          <cell r="E1575">
            <v>39994</v>
          </cell>
          <cell r="F1575" t="str">
            <v>DBU</v>
          </cell>
        </row>
        <row r="1576">
          <cell r="E1576">
            <v>39994</v>
          </cell>
          <cell r="F1576" t="str">
            <v>DBU</v>
          </cell>
        </row>
        <row r="1577">
          <cell r="E1577">
            <v>39994</v>
          </cell>
          <cell r="F1577" t="str">
            <v>DBU</v>
          </cell>
        </row>
        <row r="1578">
          <cell r="E1578">
            <v>39994</v>
          </cell>
          <cell r="F1578" t="str">
            <v>DBU</v>
          </cell>
        </row>
        <row r="1579">
          <cell r="E1579">
            <v>39994</v>
          </cell>
          <cell r="F1579" t="str">
            <v>DBU</v>
          </cell>
        </row>
        <row r="1580">
          <cell r="E1580">
            <v>39994</v>
          </cell>
          <cell r="F1580" t="str">
            <v>DBU</v>
          </cell>
        </row>
        <row r="1581">
          <cell r="E1581">
            <v>39994</v>
          </cell>
          <cell r="F1581" t="str">
            <v>DBU</v>
          </cell>
        </row>
        <row r="1582">
          <cell r="E1582">
            <v>39994</v>
          </cell>
          <cell r="F1582" t="str">
            <v>DBU</v>
          </cell>
        </row>
        <row r="1583">
          <cell r="E1583">
            <v>39994</v>
          </cell>
          <cell r="F1583" t="str">
            <v>DBU</v>
          </cell>
        </row>
        <row r="1584">
          <cell r="E1584">
            <v>39994</v>
          </cell>
          <cell r="F1584" t="str">
            <v>DBU</v>
          </cell>
        </row>
        <row r="1585">
          <cell r="E1585">
            <v>39994</v>
          </cell>
          <cell r="F1585" t="str">
            <v>DBU</v>
          </cell>
        </row>
        <row r="1586">
          <cell r="E1586">
            <v>39994</v>
          </cell>
          <cell r="F1586" t="str">
            <v>DBU</v>
          </cell>
        </row>
        <row r="1587">
          <cell r="E1587">
            <v>39994</v>
          </cell>
          <cell r="F1587" t="str">
            <v>DBU</v>
          </cell>
        </row>
        <row r="1588">
          <cell r="E1588">
            <v>39994</v>
          </cell>
          <cell r="F1588" t="str">
            <v>DBU</v>
          </cell>
        </row>
        <row r="1589">
          <cell r="E1589">
            <v>39994</v>
          </cell>
          <cell r="F1589" t="str">
            <v>DBU</v>
          </cell>
        </row>
        <row r="1590">
          <cell r="E1590">
            <v>39994</v>
          </cell>
          <cell r="F1590" t="str">
            <v>DBU</v>
          </cell>
        </row>
        <row r="1591">
          <cell r="E1591">
            <v>39994</v>
          </cell>
          <cell r="F1591" t="str">
            <v>DBU</v>
          </cell>
        </row>
        <row r="1592">
          <cell r="E1592">
            <v>39994</v>
          </cell>
          <cell r="F1592" t="str">
            <v>DBU</v>
          </cell>
        </row>
        <row r="1593">
          <cell r="E1593">
            <v>39994</v>
          </cell>
          <cell r="F1593" t="str">
            <v>DBU</v>
          </cell>
        </row>
        <row r="1594">
          <cell r="E1594">
            <v>39994</v>
          </cell>
          <cell r="F1594" t="str">
            <v>DBU</v>
          </cell>
        </row>
        <row r="1595">
          <cell r="E1595">
            <v>39994</v>
          </cell>
          <cell r="F1595" t="str">
            <v>DBU</v>
          </cell>
        </row>
        <row r="1596">
          <cell r="E1596">
            <v>39994</v>
          </cell>
          <cell r="F1596" t="str">
            <v>DBU</v>
          </cell>
        </row>
        <row r="1597">
          <cell r="E1597">
            <v>39994</v>
          </cell>
          <cell r="F1597" t="str">
            <v>DBU</v>
          </cell>
        </row>
        <row r="1598">
          <cell r="E1598">
            <v>39994</v>
          </cell>
          <cell r="F1598" t="str">
            <v>DBU</v>
          </cell>
        </row>
        <row r="1599">
          <cell r="E1599">
            <v>39994</v>
          </cell>
          <cell r="F1599" t="str">
            <v>DBU</v>
          </cell>
        </row>
        <row r="1600">
          <cell r="E1600">
            <v>39994</v>
          </cell>
          <cell r="F1600" t="str">
            <v>DBU</v>
          </cell>
        </row>
        <row r="1601">
          <cell r="E1601">
            <v>39994</v>
          </cell>
          <cell r="F1601" t="str">
            <v>DBU</v>
          </cell>
        </row>
        <row r="1602">
          <cell r="E1602">
            <v>39994</v>
          </cell>
          <cell r="F1602" t="str">
            <v>DBU</v>
          </cell>
        </row>
        <row r="1603">
          <cell r="E1603">
            <v>39994</v>
          </cell>
          <cell r="F1603" t="str">
            <v>DBU</v>
          </cell>
        </row>
        <row r="1604">
          <cell r="E1604">
            <v>39994</v>
          </cell>
          <cell r="F1604" t="str">
            <v>DBU</v>
          </cell>
        </row>
        <row r="1605">
          <cell r="E1605">
            <v>39994</v>
          </cell>
          <cell r="F1605" t="str">
            <v>DBU</v>
          </cell>
        </row>
        <row r="1606">
          <cell r="E1606">
            <v>39994</v>
          </cell>
          <cell r="F1606" t="str">
            <v>DBU</v>
          </cell>
        </row>
        <row r="1607">
          <cell r="E1607">
            <v>39994</v>
          </cell>
          <cell r="F1607" t="str">
            <v>DBU</v>
          </cell>
        </row>
        <row r="1608">
          <cell r="E1608">
            <v>39994</v>
          </cell>
          <cell r="F1608" t="str">
            <v>DBU</v>
          </cell>
        </row>
        <row r="1609">
          <cell r="E1609">
            <v>39994</v>
          </cell>
          <cell r="F1609" t="str">
            <v>DBU</v>
          </cell>
        </row>
        <row r="1610">
          <cell r="E1610">
            <v>39994</v>
          </cell>
          <cell r="F1610" t="str">
            <v>DBU</v>
          </cell>
        </row>
        <row r="1611">
          <cell r="E1611">
            <v>39994</v>
          </cell>
          <cell r="F1611" t="str">
            <v>DBU</v>
          </cell>
        </row>
        <row r="1612">
          <cell r="E1612">
            <v>39994</v>
          </cell>
          <cell r="F1612" t="str">
            <v>DBU</v>
          </cell>
        </row>
        <row r="1613">
          <cell r="E1613">
            <v>39994</v>
          </cell>
          <cell r="F1613" t="str">
            <v>DBU</v>
          </cell>
        </row>
        <row r="1614">
          <cell r="E1614">
            <v>39994</v>
          </cell>
          <cell r="F1614" t="str">
            <v>DBU</v>
          </cell>
        </row>
        <row r="1615">
          <cell r="E1615">
            <v>39994</v>
          </cell>
          <cell r="F1615" t="str">
            <v>DBU</v>
          </cell>
        </row>
        <row r="1616">
          <cell r="E1616">
            <v>39994</v>
          </cell>
          <cell r="F1616" t="str">
            <v>DBU</v>
          </cell>
        </row>
        <row r="1617">
          <cell r="E1617">
            <v>39994</v>
          </cell>
          <cell r="F1617" t="str">
            <v>DBU</v>
          </cell>
        </row>
        <row r="1618">
          <cell r="E1618">
            <v>39994</v>
          </cell>
          <cell r="F1618" t="str">
            <v>DBU</v>
          </cell>
        </row>
        <row r="1619">
          <cell r="E1619">
            <v>39994</v>
          </cell>
          <cell r="F1619" t="str">
            <v>DBU</v>
          </cell>
        </row>
        <row r="1620">
          <cell r="E1620">
            <v>39994</v>
          </cell>
          <cell r="F1620" t="str">
            <v>DBU</v>
          </cell>
        </row>
        <row r="1621">
          <cell r="E1621">
            <v>39994</v>
          </cell>
          <cell r="F1621" t="str">
            <v>DBU</v>
          </cell>
        </row>
        <row r="1622">
          <cell r="E1622">
            <v>39994</v>
          </cell>
          <cell r="F1622" t="str">
            <v>DBU</v>
          </cell>
        </row>
        <row r="1623">
          <cell r="E1623">
            <v>39994</v>
          </cell>
          <cell r="F1623" t="str">
            <v>DBU</v>
          </cell>
        </row>
        <row r="1624">
          <cell r="E1624">
            <v>39994</v>
          </cell>
          <cell r="F1624" t="str">
            <v>DBU</v>
          </cell>
        </row>
        <row r="1625">
          <cell r="E1625">
            <v>39994</v>
          </cell>
          <cell r="F1625" t="str">
            <v>DBU</v>
          </cell>
        </row>
        <row r="1626">
          <cell r="E1626">
            <v>39994</v>
          </cell>
          <cell r="F1626" t="str">
            <v>DBU</v>
          </cell>
        </row>
        <row r="1627">
          <cell r="E1627">
            <v>39994</v>
          </cell>
          <cell r="F1627" t="str">
            <v>DBU</v>
          </cell>
        </row>
        <row r="1628">
          <cell r="E1628">
            <v>39994</v>
          </cell>
          <cell r="F1628" t="str">
            <v>DBU</v>
          </cell>
        </row>
        <row r="1629">
          <cell r="E1629">
            <v>39994</v>
          </cell>
          <cell r="F1629" t="str">
            <v>DBU</v>
          </cell>
        </row>
        <row r="1630">
          <cell r="E1630">
            <v>39994</v>
          </cell>
          <cell r="F1630" t="str">
            <v>DBU</v>
          </cell>
        </row>
        <row r="1631">
          <cell r="E1631">
            <v>39994</v>
          </cell>
          <cell r="F1631" t="str">
            <v>DBU</v>
          </cell>
        </row>
        <row r="1632">
          <cell r="E1632">
            <v>39994</v>
          </cell>
          <cell r="F1632" t="str">
            <v>DBU</v>
          </cell>
        </row>
        <row r="1633">
          <cell r="E1633">
            <v>39994</v>
          </cell>
          <cell r="F1633" t="str">
            <v>DBU</v>
          </cell>
        </row>
        <row r="1634">
          <cell r="E1634">
            <v>39994</v>
          </cell>
          <cell r="F1634" t="str">
            <v>DBU</v>
          </cell>
        </row>
        <row r="1635">
          <cell r="E1635">
            <v>39994</v>
          </cell>
          <cell r="F1635" t="str">
            <v>DBU</v>
          </cell>
        </row>
        <row r="1636">
          <cell r="E1636">
            <v>39994</v>
          </cell>
          <cell r="F1636" t="str">
            <v>DBU</v>
          </cell>
        </row>
        <row r="1637">
          <cell r="E1637">
            <v>39994</v>
          </cell>
          <cell r="F1637" t="str">
            <v>DBU</v>
          </cell>
        </row>
        <row r="1638">
          <cell r="E1638">
            <v>39994</v>
          </cell>
          <cell r="F1638" t="str">
            <v>DBU</v>
          </cell>
        </row>
        <row r="1639">
          <cell r="E1639">
            <v>39994</v>
          </cell>
          <cell r="F1639" t="str">
            <v>DBU</v>
          </cell>
        </row>
        <row r="1640">
          <cell r="E1640">
            <v>39994</v>
          </cell>
          <cell r="F1640" t="str">
            <v>DBU</v>
          </cell>
        </row>
        <row r="1641">
          <cell r="E1641">
            <v>39994</v>
          </cell>
          <cell r="F1641" t="str">
            <v>DBU</v>
          </cell>
        </row>
        <row r="1642">
          <cell r="E1642">
            <v>39994</v>
          </cell>
          <cell r="F1642" t="str">
            <v>DBU</v>
          </cell>
        </row>
        <row r="1643">
          <cell r="E1643">
            <v>39994</v>
          </cell>
          <cell r="F1643" t="str">
            <v>DBU</v>
          </cell>
        </row>
        <row r="1644">
          <cell r="E1644">
            <v>39994</v>
          </cell>
          <cell r="F1644" t="str">
            <v>DBU</v>
          </cell>
        </row>
        <row r="1645">
          <cell r="E1645">
            <v>39994</v>
          </cell>
          <cell r="F1645" t="str">
            <v>DBU</v>
          </cell>
        </row>
        <row r="1646">
          <cell r="E1646">
            <v>39994</v>
          </cell>
          <cell r="F1646" t="str">
            <v>DBU</v>
          </cell>
        </row>
        <row r="1647">
          <cell r="E1647">
            <v>39994</v>
          </cell>
          <cell r="F1647" t="str">
            <v>DBU</v>
          </cell>
        </row>
        <row r="1648">
          <cell r="E1648">
            <v>39994</v>
          </cell>
          <cell r="F1648" t="str">
            <v>DBU</v>
          </cell>
        </row>
        <row r="1649">
          <cell r="E1649">
            <v>39994</v>
          </cell>
          <cell r="F1649" t="str">
            <v>DBU</v>
          </cell>
        </row>
        <row r="1650">
          <cell r="E1650">
            <v>39994</v>
          </cell>
          <cell r="F1650" t="str">
            <v>DBU</v>
          </cell>
        </row>
        <row r="1651">
          <cell r="E1651">
            <v>39994</v>
          </cell>
          <cell r="F1651" t="str">
            <v>DBU</v>
          </cell>
        </row>
        <row r="1652">
          <cell r="E1652">
            <v>39994</v>
          </cell>
          <cell r="F1652" t="str">
            <v>DBU</v>
          </cell>
        </row>
        <row r="1653">
          <cell r="E1653">
            <v>39994</v>
          </cell>
          <cell r="F1653" t="str">
            <v>DBU</v>
          </cell>
        </row>
        <row r="1654">
          <cell r="E1654">
            <v>39994</v>
          </cell>
          <cell r="F1654" t="str">
            <v>DBU</v>
          </cell>
        </row>
        <row r="1655">
          <cell r="E1655">
            <v>39994</v>
          </cell>
          <cell r="F1655" t="str">
            <v>DBU</v>
          </cell>
        </row>
        <row r="1656">
          <cell r="E1656">
            <v>39994</v>
          </cell>
          <cell r="F1656" t="str">
            <v>DBU</v>
          </cell>
        </row>
        <row r="1657">
          <cell r="E1657">
            <v>39994</v>
          </cell>
          <cell r="F1657" t="str">
            <v>DBU</v>
          </cell>
        </row>
        <row r="1658">
          <cell r="E1658">
            <v>39994</v>
          </cell>
          <cell r="F1658" t="str">
            <v>DBU</v>
          </cell>
        </row>
        <row r="1659">
          <cell r="E1659">
            <v>39994</v>
          </cell>
          <cell r="F1659" t="str">
            <v>DBU</v>
          </cell>
        </row>
        <row r="1660">
          <cell r="E1660">
            <v>39994</v>
          </cell>
          <cell r="F1660" t="str">
            <v>DBU</v>
          </cell>
        </row>
        <row r="1661">
          <cell r="E1661">
            <v>39994</v>
          </cell>
          <cell r="F1661" t="str">
            <v>DBU</v>
          </cell>
        </row>
        <row r="1662">
          <cell r="E1662">
            <v>39994</v>
          </cell>
          <cell r="F1662" t="str">
            <v>DBU</v>
          </cell>
        </row>
        <row r="1663">
          <cell r="E1663">
            <v>39994</v>
          </cell>
          <cell r="F1663" t="str">
            <v>DBU</v>
          </cell>
        </row>
        <row r="1664">
          <cell r="E1664">
            <v>39994</v>
          </cell>
          <cell r="F1664" t="str">
            <v>DBU</v>
          </cell>
        </row>
        <row r="1665">
          <cell r="E1665">
            <v>39994</v>
          </cell>
          <cell r="F1665" t="str">
            <v>DBU</v>
          </cell>
        </row>
        <row r="1666">
          <cell r="E1666">
            <v>39994</v>
          </cell>
          <cell r="F1666" t="str">
            <v>DBU</v>
          </cell>
        </row>
        <row r="1667">
          <cell r="E1667">
            <v>39994</v>
          </cell>
          <cell r="F1667" t="str">
            <v>DBU</v>
          </cell>
        </row>
        <row r="1668">
          <cell r="E1668">
            <v>39994</v>
          </cell>
          <cell r="F1668" t="str">
            <v>DBU</v>
          </cell>
        </row>
        <row r="1669">
          <cell r="E1669">
            <v>39994</v>
          </cell>
          <cell r="F1669" t="str">
            <v>DBU</v>
          </cell>
        </row>
        <row r="1670">
          <cell r="E1670">
            <v>39994</v>
          </cell>
          <cell r="F1670" t="str">
            <v>DBU</v>
          </cell>
        </row>
        <row r="1671">
          <cell r="E1671">
            <v>39994</v>
          </cell>
          <cell r="F1671" t="str">
            <v>DBU</v>
          </cell>
        </row>
        <row r="1672">
          <cell r="E1672">
            <v>39994</v>
          </cell>
          <cell r="F1672" t="str">
            <v>DBU</v>
          </cell>
        </row>
        <row r="1673">
          <cell r="E1673">
            <v>39994</v>
          </cell>
          <cell r="F1673" t="str">
            <v>DBU</v>
          </cell>
        </row>
        <row r="1674">
          <cell r="E1674">
            <v>39994</v>
          </cell>
          <cell r="F1674" t="str">
            <v>DBU</v>
          </cell>
        </row>
        <row r="1675">
          <cell r="E1675">
            <v>39994</v>
          </cell>
          <cell r="F1675" t="str">
            <v>DBU</v>
          </cell>
        </row>
        <row r="1676">
          <cell r="E1676">
            <v>39994</v>
          </cell>
          <cell r="F1676" t="str">
            <v>DBU</v>
          </cell>
        </row>
        <row r="1677">
          <cell r="E1677">
            <v>39994</v>
          </cell>
          <cell r="F1677" t="str">
            <v>DBU</v>
          </cell>
        </row>
        <row r="1678">
          <cell r="E1678">
            <v>39994</v>
          </cell>
          <cell r="F1678" t="str">
            <v>DBU</v>
          </cell>
        </row>
        <row r="1679">
          <cell r="E1679">
            <v>39994</v>
          </cell>
          <cell r="F1679" t="str">
            <v>DBU</v>
          </cell>
        </row>
        <row r="1680">
          <cell r="E1680">
            <v>39994</v>
          </cell>
          <cell r="F1680" t="str">
            <v>DBU</v>
          </cell>
        </row>
        <row r="1681">
          <cell r="E1681">
            <v>39994</v>
          </cell>
          <cell r="F1681" t="str">
            <v>DBU</v>
          </cell>
        </row>
        <row r="1682">
          <cell r="E1682">
            <v>39994</v>
          </cell>
          <cell r="F1682" t="str">
            <v>DBU</v>
          </cell>
        </row>
        <row r="1683">
          <cell r="E1683">
            <v>39994</v>
          </cell>
          <cell r="F1683" t="str">
            <v>DBU</v>
          </cell>
        </row>
        <row r="1684">
          <cell r="E1684">
            <v>39994</v>
          </cell>
          <cell r="F1684" t="str">
            <v>DBU</v>
          </cell>
        </row>
        <row r="1685">
          <cell r="E1685">
            <v>39994</v>
          </cell>
          <cell r="F1685" t="str">
            <v>DBU</v>
          </cell>
        </row>
        <row r="1686">
          <cell r="E1686">
            <v>39994</v>
          </cell>
          <cell r="F1686" t="str">
            <v>DBU</v>
          </cell>
        </row>
        <row r="1687">
          <cell r="E1687">
            <v>39994</v>
          </cell>
          <cell r="F1687" t="str">
            <v>DBU</v>
          </cell>
        </row>
        <row r="1688">
          <cell r="E1688">
            <v>39994</v>
          </cell>
          <cell r="F1688" t="str">
            <v>DBU</v>
          </cell>
        </row>
        <row r="1689">
          <cell r="E1689">
            <v>39994</v>
          </cell>
          <cell r="F1689" t="str">
            <v>DBU</v>
          </cell>
        </row>
        <row r="1690">
          <cell r="E1690">
            <v>39994</v>
          </cell>
          <cell r="F1690" t="str">
            <v>DBU</v>
          </cell>
        </row>
        <row r="1691">
          <cell r="E1691">
            <v>39994</v>
          </cell>
          <cell r="F1691" t="str">
            <v>DBU</v>
          </cell>
        </row>
        <row r="1692">
          <cell r="E1692">
            <v>39994</v>
          </cell>
          <cell r="F1692" t="str">
            <v>DBU</v>
          </cell>
        </row>
        <row r="1693">
          <cell r="E1693">
            <v>39994</v>
          </cell>
          <cell r="F1693" t="str">
            <v>DBU</v>
          </cell>
        </row>
        <row r="1694">
          <cell r="E1694">
            <v>39994</v>
          </cell>
          <cell r="F1694" t="str">
            <v>DBU</v>
          </cell>
        </row>
        <row r="1695">
          <cell r="E1695">
            <v>39994</v>
          </cell>
          <cell r="F1695" t="str">
            <v>DBU</v>
          </cell>
        </row>
        <row r="1696">
          <cell r="E1696">
            <v>39994</v>
          </cell>
          <cell r="F1696" t="str">
            <v>DBU</v>
          </cell>
        </row>
        <row r="1697">
          <cell r="E1697">
            <v>39994</v>
          </cell>
          <cell r="F1697" t="str">
            <v>DBU</v>
          </cell>
        </row>
        <row r="1698">
          <cell r="E1698">
            <v>39994</v>
          </cell>
          <cell r="F1698" t="str">
            <v>DBU</v>
          </cell>
        </row>
        <row r="1699">
          <cell r="E1699">
            <v>39994</v>
          </cell>
          <cell r="F1699" t="str">
            <v>DBU</v>
          </cell>
        </row>
        <row r="1700">
          <cell r="E1700">
            <v>39994</v>
          </cell>
          <cell r="F1700" t="str">
            <v>DBU</v>
          </cell>
        </row>
        <row r="1701">
          <cell r="E1701">
            <v>39994</v>
          </cell>
          <cell r="F1701" t="str">
            <v>DBU</v>
          </cell>
        </row>
        <row r="1702">
          <cell r="E1702">
            <v>39994</v>
          </cell>
          <cell r="F1702" t="str">
            <v>DBU</v>
          </cell>
        </row>
        <row r="1703">
          <cell r="E1703">
            <v>39994</v>
          </cell>
          <cell r="F1703" t="str">
            <v>DBU</v>
          </cell>
        </row>
        <row r="1704">
          <cell r="E1704">
            <v>39994</v>
          </cell>
          <cell r="F1704" t="str">
            <v>DBU</v>
          </cell>
        </row>
        <row r="1705">
          <cell r="E1705">
            <v>39994</v>
          </cell>
          <cell r="F1705" t="str">
            <v>DBU</v>
          </cell>
        </row>
        <row r="1706">
          <cell r="E1706">
            <v>39994</v>
          </cell>
          <cell r="F1706" t="str">
            <v>DBU</v>
          </cell>
        </row>
        <row r="1707">
          <cell r="E1707">
            <v>39994</v>
          </cell>
          <cell r="F1707" t="str">
            <v>DBU</v>
          </cell>
        </row>
        <row r="1708">
          <cell r="E1708">
            <v>39994</v>
          </cell>
          <cell r="F1708" t="str">
            <v>DBU</v>
          </cell>
        </row>
        <row r="1709">
          <cell r="E1709">
            <v>39994</v>
          </cell>
          <cell r="F1709" t="str">
            <v>DBU</v>
          </cell>
        </row>
        <row r="1710">
          <cell r="E1710">
            <v>39994</v>
          </cell>
          <cell r="F1710" t="str">
            <v>DBU</v>
          </cell>
        </row>
        <row r="1711">
          <cell r="E1711">
            <v>39994</v>
          </cell>
          <cell r="F1711" t="str">
            <v>DBU</v>
          </cell>
        </row>
        <row r="1712">
          <cell r="E1712">
            <v>39994</v>
          </cell>
          <cell r="F1712" t="str">
            <v>DBU</v>
          </cell>
        </row>
        <row r="1713">
          <cell r="E1713">
            <v>39994</v>
          </cell>
          <cell r="F1713" t="str">
            <v>DBU</v>
          </cell>
        </row>
        <row r="1714">
          <cell r="E1714">
            <v>39994</v>
          </cell>
          <cell r="F1714" t="str">
            <v>DBU</v>
          </cell>
        </row>
        <row r="1715">
          <cell r="E1715">
            <v>39994</v>
          </cell>
          <cell r="F1715" t="str">
            <v>DBU</v>
          </cell>
        </row>
        <row r="1716">
          <cell r="E1716">
            <v>39994</v>
          </cell>
          <cell r="F1716" t="str">
            <v>DBU</v>
          </cell>
        </row>
        <row r="1717">
          <cell r="E1717">
            <v>39994</v>
          </cell>
          <cell r="F1717" t="str">
            <v>DBU</v>
          </cell>
        </row>
        <row r="1718">
          <cell r="E1718">
            <v>39994</v>
          </cell>
          <cell r="F1718" t="str">
            <v>DBU</v>
          </cell>
        </row>
        <row r="1719">
          <cell r="E1719">
            <v>39994</v>
          </cell>
          <cell r="F1719" t="str">
            <v>DBU</v>
          </cell>
        </row>
        <row r="1720">
          <cell r="E1720">
            <v>39994</v>
          </cell>
          <cell r="F1720" t="str">
            <v>DBU</v>
          </cell>
        </row>
        <row r="1721">
          <cell r="E1721">
            <v>39994</v>
          </cell>
          <cell r="F1721" t="str">
            <v>DBU</v>
          </cell>
        </row>
        <row r="1722">
          <cell r="E1722">
            <v>39994</v>
          </cell>
          <cell r="F1722" t="str">
            <v>DBU</v>
          </cell>
        </row>
        <row r="1723">
          <cell r="E1723">
            <v>39994</v>
          </cell>
          <cell r="F1723" t="str">
            <v>DBU</v>
          </cell>
        </row>
        <row r="1724">
          <cell r="E1724">
            <v>39994</v>
          </cell>
          <cell r="F1724" t="str">
            <v>DBU</v>
          </cell>
        </row>
        <row r="1725">
          <cell r="E1725">
            <v>39994</v>
          </cell>
          <cell r="F1725" t="str">
            <v>DBU</v>
          </cell>
        </row>
        <row r="1726">
          <cell r="E1726">
            <v>39994</v>
          </cell>
          <cell r="F1726" t="str">
            <v>DBU</v>
          </cell>
        </row>
        <row r="1727">
          <cell r="E1727">
            <v>39994</v>
          </cell>
          <cell r="F1727" t="str">
            <v>DBU</v>
          </cell>
        </row>
        <row r="1728">
          <cell r="E1728">
            <v>39994</v>
          </cell>
          <cell r="F1728" t="str">
            <v>DBU</v>
          </cell>
        </row>
        <row r="1729">
          <cell r="E1729">
            <v>39994</v>
          </cell>
          <cell r="F1729" t="str">
            <v>DBU</v>
          </cell>
        </row>
        <row r="1730">
          <cell r="E1730">
            <v>39994</v>
          </cell>
          <cell r="F1730" t="str">
            <v>DBU</v>
          </cell>
        </row>
        <row r="1731">
          <cell r="E1731">
            <v>39994</v>
          </cell>
          <cell r="F1731" t="str">
            <v>DBU</v>
          </cell>
        </row>
        <row r="1732">
          <cell r="E1732">
            <v>39994</v>
          </cell>
          <cell r="F1732" t="str">
            <v>DBU</v>
          </cell>
        </row>
        <row r="1733">
          <cell r="E1733">
            <v>39994</v>
          </cell>
          <cell r="F1733" t="str">
            <v>DBU</v>
          </cell>
        </row>
        <row r="1734">
          <cell r="E1734">
            <v>39994</v>
          </cell>
          <cell r="F1734" t="str">
            <v>DBU</v>
          </cell>
        </row>
        <row r="1735">
          <cell r="E1735">
            <v>39994</v>
          </cell>
          <cell r="F1735" t="str">
            <v>DBU</v>
          </cell>
        </row>
        <row r="1736">
          <cell r="E1736">
            <v>39994</v>
          </cell>
          <cell r="F1736" t="str">
            <v>DBU</v>
          </cell>
        </row>
        <row r="1737">
          <cell r="E1737">
            <v>39994</v>
          </cell>
          <cell r="F1737" t="str">
            <v>DBU</v>
          </cell>
        </row>
        <row r="1738">
          <cell r="E1738">
            <v>39994</v>
          </cell>
          <cell r="F1738" t="str">
            <v>DBU</v>
          </cell>
        </row>
        <row r="1739">
          <cell r="E1739">
            <v>39994</v>
          </cell>
          <cell r="F1739" t="str">
            <v>DBU</v>
          </cell>
        </row>
        <row r="1740">
          <cell r="E1740">
            <v>39994</v>
          </cell>
          <cell r="F1740" t="str">
            <v>DBU</v>
          </cell>
        </row>
        <row r="1741">
          <cell r="E1741">
            <v>39994</v>
          </cell>
          <cell r="F1741" t="str">
            <v>DBU</v>
          </cell>
        </row>
        <row r="1742">
          <cell r="E1742">
            <v>39994</v>
          </cell>
          <cell r="F1742" t="str">
            <v>DBU</v>
          </cell>
        </row>
        <row r="1743">
          <cell r="E1743">
            <v>39994</v>
          </cell>
          <cell r="F1743" t="str">
            <v>DBU</v>
          </cell>
        </row>
        <row r="1744">
          <cell r="E1744">
            <v>39994</v>
          </cell>
          <cell r="F1744" t="str">
            <v>DBU</v>
          </cell>
        </row>
        <row r="1745">
          <cell r="E1745">
            <v>39994</v>
          </cell>
          <cell r="F1745" t="str">
            <v>DBU</v>
          </cell>
        </row>
        <row r="1746">
          <cell r="E1746">
            <v>39994</v>
          </cell>
          <cell r="F1746" t="str">
            <v>DBU</v>
          </cell>
        </row>
        <row r="1747">
          <cell r="E1747">
            <v>39994</v>
          </cell>
          <cell r="F1747" t="str">
            <v>DBU</v>
          </cell>
        </row>
        <row r="1748">
          <cell r="E1748">
            <v>39994</v>
          </cell>
          <cell r="F1748" t="str">
            <v>DBU</v>
          </cell>
        </row>
        <row r="1749">
          <cell r="E1749">
            <v>39994</v>
          </cell>
          <cell r="F1749" t="str">
            <v>DBU</v>
          </cell>
        </row>
        <row r="1750">
          <cell r="E1750">
            <v>39994</v>
          </cell>
          <cell r="F1750" t="str">
            <v>DBU</v>
          </cell>
        </row>
        <row r="1751">
          <cell r="E1751">
            <v>39994</v>
          </cell>
          <cell r="F1751" t="str">
            <v>DBU</v>
          </cell>
        </row>
        <row r="1752">
          <cell r="E1752">
            <v>39994</v>
          </cell>
          <cell r="F1752" t="str">
            <v>DBU</v>
          </cell>
        </row>
        <row r="1753">
          <cell r="E1753">
            <v>39994</v>
          </cell>
          <cell r="F1753" t="str">
            <v>DBU</v>
          </cell>
        </row>
        <row r="1754">
          <cell r="E1754">
            <v>39994</v>
          </cell>
          <cell r="F1754" t="str">
            <v>DBU</v>
          </cell>
        </row>
        <row r="1755">
          <cell r="E1755">
            <v>39994</v>
          </cell>
          <cell r="F1755" t="str">
            <v>DBU</v>
          </cell>
        </row>
        <row r="1756">
          <cell r="E1756">
            <v>39994</v>
          </cell>
          <cell r="F1756" t="str">
            <v>DBU</v>
          </cell>
        </row>
        <row r="1757">
          <cell r="E1757">
            <v>39994</v>
          </cell>
          <cell r="F1757" t="str">
            <v>DBU</v>
          </cell>
        </row>
        <row r="1758">
          <cell r="E1758">
            <v>39994</v>
          </cell>
          <cell r="F1758" t="str">
            <v>DBU</v>
          </cell>
        </row>
        <row r="1759">
          <cell r="E1759">
            <v>39994</v>
          </cell>
          <cell r="F1759" t="str">
            <v>DBU</v>
          </cell>
        </row>
        <row r="1760">
          <cell r="E1760">
            <v>39994</v>
          </cell>
          <cell r="F1760" t="str">
            <v>DBU</v>
          </cell>
        </row>
        <row r="1761">
          <cell r="E1761">
            <v>39994</v>
          </cell>
          <cell r="F1761" t="str">
            <v>DBU</v>
          </cell>
        </row>
        <row r="1762">
          <cell r="E1762">
            <v>39994</v>
          </cell>
          <cell r="F1762" t="str">
            <v>DBU</v>
          </cell>
        </row>
        <row r="1763">
          <cell r="E1763">
            <v>39994</v>
          </cell>
          <cell r="F1763" t="str">
            <v>DBU</v>
          </cell>
        </row>
        <row r="1764">
          <cell r="E1764">
            <v>39994</v>
          </cell>
          <cell r="F1764" t="str">
            <v>DBU</v>
          </cell>
        </row>
        <row r="1765">
          <cell r="E1765">
            <v>39994</v>
          </cell>
          <cell r="F1765" t="str">
            <v>DBU</v>
          </cell>
        </row>
        <row r="1766">
          <cell r="E1766">
            <v>39994</v>
          </cell>
          <cell r="F1766" t="str">
            <v>DBU</v>
          </cell>
        </row>
        <row r="1767">
          <cell r="E1767">
            <v>39994</v>
          </cell>
          <cell r="F1767" t="str">
            <v>DBU</v>
          </cell>
        </row>
        <row r="1768">
          <cell r="E1768">
            <v>39994</v>
          </cell>
          <cell r="F1768" t="str">
            <v>DBU</v>
          </cell>
        </row>
        <row r="1769">
          <cell r="E1769">
            <v>39994</v>
          </cell>
          <cell r="F1769" t="str">
            <v>DBU</v>
          </cell>
        </row>
        <row r="1770">
          <cell r="E1770">
            <v>39994</v>
          </cell>
          <cell r="F1770" t="str">
            <v>DBU</v>
          </cell>
        </row>
        <row r="1771">
          <cell r="E1771">
            <v>39994</v>
          </cell>
          <cell r="F1771" t="str">
            <v>DBU</v>
          </cell>
        </row>
        <row r="1772">
          <cell r="E1772">
            <v>39994</v>
          </cell>
          <cell r="F1772" t="str">
            <v>DBU</v>
          </cell>
        </row>
        <row r="1773">
          <cell r="E1773">
            <v>39994</v>
          </cell>
          <cell r="F1773" t="str">
            <v>DBU</v>
          </cell>
        </row>
        <row r="1774">
          <cell r="E1774">
            <v>39994</v>
          </cell>
          <cell r="F1774" t="str">
            <v>DBU</v>
          </cell>
        </row>
        <row r="1775">
          <cell r="E1775">
            <v>39994</v>
          </cell>
          <cell r="F1775" t="str">
            <v>DBU</v>
          </cell>
        </row>
        <row r="1776">
          <cell r="E1776">
            <v>39994</v>
          </cell>
          <cell r="F1776" t="str">
            <v>DBU</v>
          </cell>
        </row>
        <row r="1777">
          <cell r="E1777">
            <v>39994</v>
          </cell>
          <cell r="F1777" t="str">
            <v>DBU</v>
          </cell>
        </row>
        <row r="1778">
          <cell r="E1778">
            <v>39994</v>
          </cell>
          <cell r="F1778" t="str">
            <v>DBU</v>
          </cell>
        </row>
        <row r="1779">
          <cell r="E1779">
            <v>39994</v>
          </cell>
          <cell r="F1779" t="str">
            <v>DBU</v>
          </cell>
        </row>
        <row r="1780">
          <cell r="E1780">
            <v>39994</v>
          </cell>
          <cell r="F1780" t="str">
            <v>DBU</v>
          </cell>
        </row>
        <row r="1781">
          <cell r="E1781">
            <v>39994</v>
          </cell>
          <cell r="F1781" t="str">
            <v>DBU</v>
          </cell>
        </row>
        <row r="1782">
          <cell r="E1782">
            <v>39994</v>
          </cell>
          <cell r="F1782" t="str">
            <v>DBU</v>
          </cell>
        </row>
        <row r="1783">
          <cell r="E1783">
            <v>39994</v>
          </cell>
          <cell r="F1783" t="str">
            <v>DBU</v>
          </cell>
        </row>
        <row r="1784">
          <cell r="E1784">
            <v>39994</v>
          </cell>
          <cell r="F1784" t="str">
            <v>DBU</v>
          </cell>
        </row>
        <row r="1785">
          <cell r="E1785">
            <v>39994</v>
          </cell>
          <cell r="F1785" t="str">
            <v>DBU</v>
          </cell>
        </row>
        <row r="1786">
          <cell r="E1786">
            <v>39994</v>
          </cell>
          <cell r="F1786" t="str">
            <v>DBU</v>
          </cell>
        </row>
        <row r="1787">
          <cell r="E1787">
            <v>39994</v>
          </cell>
          <cell r="F1787" t="str">
            <v>DBU</v>
          </cell>
        </row>
        <row r="1788">
          <cell r="E1788">
            <v>39994</v>
          </cell>
          <cell r="F1788" t="str">
            <v>DBU</v>
          </cell>
        </row>
        <row r="1789">
          <cell r="E1789">
            <v>39994</v>
          </cell>
          <cell r="F1789" t="str">
            <v>DBU</v>
          </cell>
        </row>
        <row r="1790">
          <cell r="E1790">
            <v>39994</v>
          </cell>
          <cell r="F1790" t="str">
            <v>DBU</v>
          </cell>
        </row>
        <row r="1791">
          <cell r="E1791">
            <v>39994</v>
          </cell>
          <cell r="F1791" t="str">
            <v>DBU</v>
          </cell>
        </row>
        <row r="1792">
          <cell r="E1792">
            <v>39994</v>
          </cell>
          <cell r="F1792" t="str">
            <v>DBU</v>
          </cell>
        </row>
        <row r="1793">
          <cell r="E1793">
            <v>39994</v>
          </cell>
          <cell r="F1793" t="str">
            <v>DBU</v>
          </cell>
        </row>
        <row r="1794">
          <cell r="E1794">
            <v>39994</v>
          </cell>
          <cell r="F1794" t="str">
            <v>DBU</v>
          </cell>
        </row>
        <row r="1795">
          <cell r="E1795">
            <v>39994</v>
          </cell>
          <cell r="F1795" t="str">
            <v>DBU</v>
          </cell>
        </row>
        <row r="1796">
          <cell r="E1796">
            <v>39994</v>
          </cell>
          <cell r="F1796" t="str">
            <v>DBU</v>
          </cell>
        </row>
        <row r="1797">
          <cell r="E1797">
            <v>39994</v>
          </cell>
          <cell r="F1797" t="str">
            <v>DBU</v>
          </cell>
        </row>
        <row r="1798">
          <cell r="E1798">
            <v>39994</v>
          </cell>
          <cell r="F1798" t="str">
            <v>DBU</v>
          </cell>
        </row>
        <row r="1799">
          <cell r="E1799">
            <v>39994</v>
          </cell>
          <cell r="F1799" t="str">
            <v>DBU</v>
          </cell>
        </row>
        <row r="1800">
          <cell r="E1800">
            <v>39994</v>
          </cell>
          <cell r="F1800" t="str">
            <v>DBU</v>
          </cell>
        </row>
        <row r="1801">
          <cell r="E1801">
            <v>39994</v>
          </cell>
          <cell r="F1801" t="str">
            <v>DBU</v>
          </cell>
        </row>
        <row r="1802">
          <cell r="E1802">
            <v>39994</v>
          </cell>
          <cell r="F1802" t="str">
            <v>DBU</v>
          </cell>
        </row>
        <row r="1803">
          <cell r="E1803">
            <v>39994</v>
          </cell>
          <cell r="F1803" t="str">
            <v>DBU</v>
          </cell>
        </row>
        <row r="1804">
          <cell r="E1804">
            <v>39994</v>
          </cell>
          <cell r="F1804" t="str">
            <v>DBU</v>
          </cell>
        </row>
        <row r="1805">
          <cell r="E1805">
            <v>39994</v>
          </cell>
          <cell r="F1805" t="str">
            <v>DBU</v>
          </cell>
        </row>
        <row r="1806">
          <cell r="E1806">
            <v>39994</v>
          </cell>
          <cell r="F1806" t="str">
            <v>DBU</v>
          </cell>
        </row>
        <row r="1807">
          <cell r="E1807">
            <v>39994</v>
          </cell>
          <cell r="F1807" t="str">
            <v>DBU</v>
          </cell>
        </row>
        <row r="1808">
          <cell r="E1808">
            <v>39994</v>
          </cell>
          <cell r="F1808" t="str">
            <v>DBU</v>
          </cell>
        </row>
        <row r="1809">
          <cell r="E1809">
            <v>39994</v>
          </cell>
          <cell r="F1809" t="str">
            <v>DBU</v>
          </cell>
        </row>
        <row r="1810">
          <cell r="E1810">
            <v>39994</v>
          </cell>
          <cell r="F1810" t="str">
            <v>DBU</v>
          </cell>
        </row>
        <row r="1811">
          <cell r="E1811">
            <v>39994</v>
          </cell>
          <cell r="F1811" t="str">
            <v>DBU</v>
          </cell>
        </row>
        <row r="1812">
          <cell r="E1812">
            <v>39994</v>
          </cell>
          <cell r="F1812" t="str">
            <v>DBU</v>
          </cell>
        </row>
        <row r="1813">
          <cell r="E1813">
            <v>39994</v>
          </cell>
          <cell r="F1813" t="str">
            <v>DBU</v>
          </cell>
        </row>
        <row r="1814">
          <cell r="E1814">
            <v>39994</v>
          </cell>
          <cell r="F1814" t="str">
            <v>DBU</v>
          </cell>
        </row>
        <row r="1815">
          <cell r="E1815">
            <v>39994</v>
          </cell>
          <cell r="F1815" t="str">
            <v>DBU</v>
          </cell>
        </row>
        <row r="1816">
          <cell r="E1816">
            <v>39994</v>
          </cell>
          <cell r="F1816" t="str">
            <v>DBU</v>
          </cell>
        </row>
        <row r="1817">
          <cell r="E1817">
            <v>39994</v>
          </cell>
          <cell r="F1817" t="str">
            <v>DBU</v>
          </cell>
        </row>
        <row r="1818">
          <cell r="E1818">
            <v>39994</v>
          </cell>
          <cell r="F1818" t="str">
            <v>DBU</v>
          </cell>
        </row>
        <row r="1819">
          <cell r="E1819">
            <v>39994</v>
          </cell>
          <cell r="F1819" t="str">
            <v>DBU</v>
          </cell>
        </row>
        <row r="1820">
          <cell r="E1820">
            <v>39994</v>
          </cell>
          <cell r="F1820" t="str">
            <v>DBU</v>
          </cell>
        </row>
        <row r="1821">
          <cell r="E1821">
            <v>39994</v>
          </cell>
          <cell r="F1821" t="str">
            <v>DBU</v>
          </cell>
        </row>
        <row r="1822">
          <cell r="E1822">
            <v>39994</v>
          </cell>
          <cell r="F1822" t="str">
            <v>DBU</v>
          </cell>
        </row>
        <row r="1823">
          <cell r="E1823">
            <v>39994</v>
          </cell>
          <cell r="F1823" t="str">
            <v>DBU</v>
          </cell>
        </row>
        <row r="1824">
          <cell r="E1824">
            <v>39994</v>
          </cell>
          <cell r="F1824" t="str">
            <v>DBU</v>
          </cell>
        </row>
        <row r="1825">
          <cell r="E1825">
            <v>39994</v>
          </cell>
          <cell r="F1825" t="str">
            <v>DBU</v>
          </cell>
        </row>
        <row r="1826">
          <cell r="E1826">
            <v>39994</v>
          </cell>
          <cell r="F1826" t="str">
            <v>DBU</v>
          </cell>
        </row>
        <row r="1827">
          <cell r="E1827">
            <v>39994</v>
          </cell>
          <cell r="F1827" t="str">
            <v>DBU</v>
          </cell>
        </row>
        <row r="1828">
          <cell r="E1828">
            <v>39994</v>
          </cell>
          <cell r="F1828" t="str">
            <v>DBU</v>
          </cell>
        </row>
        <row r="1829">
          <cell r="E1829">
            <v>39994</v>
          </cell>
          <cell r="F1829" t="str">
            <v>DBU</v>
          </cell>
        </row>
        <row r="1830">
          <cell r="E1830">
            <v>39994</v>
          </cell>
          <cell r="F1830" t="str">
            <v>DBU</v>
          </cell>
        </row>
        <row r="1831">
          <cell r="E1831">
            <v>39994</v>
          </cell>
          <cell r="F1831" t="str">
            <v>DBU</v>
          </cell>
        </row>
        <row r="1832">
          <cell r="E1832">
            <v>39994</v>
          </cell>
          <cell r="F1832" t="str">
            <v>DBU</v>
          </cell>
        </row>
        <row r="1833">
          <cell r="E1833">
            <v>39994</v>
          </cell>
          <cell r="F1833" t="str">
            <v>DBU</v>
          </cell>
        </row>
        <row r="1834">
          <cell r="E1834">
            <v>39994</v>
          </cell>
          <cell r="F1834" t="str">
            <v>DBU</v>
          </cell>
        </row>
        <row r="1835">
          <cell r="E1835">
            <v>39994</v>
          </cell>
          <cell r="F1835" t="str">
            <v>DBU</v>
          </cell>
        </row>
        <row r="1836">
          <cell r="E1836">
            <v>39994</v>
          </cell>
          <cell r="F1836" t="str">
            <v>DBU</v>
          </cell>
        </row>
        <row r="1837">
          <cell r="E1837">
            <v>39994</v>
          </cell>
          <cell r="F1837" t="str">
            <v>DBU</v>
          </cell>
        </row>
        <row r="1838">
          <cell r="E1838">
            <v>39994</v>
          </cell>
          <cell r="F1838" t="str">
            <v>DBU</v>
          </cell>
        </row>
        <row r="1839">
          <cell r="E1839">
            <v>39994</v>
          </cell>
          <cell r="F1839" t="str">
            <v>DBU</v>
          </cell>
        </row>
        <row r="1840">
          <cell r="E1840">
            <v>39994</v>
          </cell>
          <cell r="F1840" t="str">
            <v>DBU</v>
          </cell>
        </row>
        <row r="1841">
          <cell r="E1841">
            <v>39994</v>
          </cell>
          <cell r="F1841" t="str">
            <v>DBU</v>
          </cell>
        </row>
        <row r="1842">
          <cell r="E1842">
            <v>39994</v>
          </cell>
          <cell r="F1842" t="str">
            <v>DBU</v>
          </cell>
        </row>
        <row r="1843">
          <cell r="E1843">
            <v>39994</v>
          </cell>
          <cell r="F1843" t="str">
            <v>DBU</v>
          </cell>
        </row>
        <row r="1844">
          <cell r="E1844">
            <v>39994</v>
          </cell>
          <cell r="F1844" t="str">
            <v>DBU</v>
          </cell>
        </row>
        <row r="1845">
          <cell r="E1845">
            <v>39994</v>
          </cell>
          <cell r="F1845" t="str">
            <v>DBU</v>
          </cell>
        </row>
        <row r="1846">
          <cell r="E1846">
            <v>39994</v>
          </cell>
          <cell r="F1846" t="str">
            <v>DBU</v>
          </cell>
        </row>
        <row r="1847">
          <cell r="E1847">
            <v>39994</v>
          </cell>
          <cell r="F1847" t="str">
            <v>DBU</v>
          </cell>
        </row>
        <row r="1848">
          <cell r="E1848">
            <v>39994</v>
          </cell>
          <cell r="F1848" t="str">
            <v>DBU</v>
          </cell>
        </row>
        <row r="1849">
          <cell r="E1849">
            <v>39994</v>
          </cell>
          <cell r="F1849" t="str">
            <v>DBU</v>
          </cell>
        </row>
        <row r="1850">
          <cell r="E1850">
            <v>39994</v>
          </cell>
          <cell r="F1850" t="str">
            <v>DBU</v>
          </cell>
        </row>
        <row r="1851">
          <cell r="E1851">
            <v>39994</v>
          </cell>
          <cell r="F1851" t="str">
            <v>DBU</v>
          </cell>
        </row>
        <row r="1852">
          <cell r="E1852">
            <v>39994</v>
          </cell>
          <cell r="F1852" t="str">
            <v>DBU</v>
          </cell>
        </row>
        <row r="1853">
          <cell r="E1853">
            <v>39994</v>
          </cell>
          <cell r="F1853" t="str">
            <v>DBU</v>
          </cell>
        </row>
        <row r="1854">
          <cell r="E1854">
            <v>39994</v>
          </cell>
          <cell r="F1854" t="str">
            <v>DBU</v>
          </cell>
        </row>
        <row r="1855">
          <cell r="E1855">
            <v>39994</v>
          </cell>
          <cell r="F1855" t="str">
            <v>DBU</v>
          </cell>
        </row>
        <row r="1856">
          <cell r="E1856">
            <v>39994</v>
          </cell>
          <cell r="F1856" t="str">
            <v>DBU</v>
          </cell>
        </row>
        <row r="1857">
          <cell r="E1857">
            <v>39994</v>
          </cell>
          <cell r="F1857" t="str">
            <v>DBU</v>
          </cell>
        </row>
        <row r="1858">
          <cell r="E1858">
            <v>39994</v>
          </cell>
          <cell r="F1858" t="str">
            <v>DBU</v>
          </cell>
        </row>
        <row r="1859">
          <cell r="E1859">
            <v>39994</v>
          </cell>
          <cell r="F1859" t="str">
            <v>DBU</v>
          </cell>
        </row>
        <row r="1860">
          <cell r="E1860">
            <v>39994</v>
          </cell>
          <cell r="F1860" t="str">
            <v>DBU</v>
          </cell>
        </row>
        <row r="1861">
          <cell r="E1861">
            <v>39994</v>
          </cell>
          <cell r="F1861" t="str">
            <v>DBU</v>
          </cell>
        </row>
        <row r="1862">
          <cell r="E1862">
            <v>39994</v>
          </cell>
          <cell r="F1862" t="str">
            <v>DBU</v>
          </cell>
        </row>
        <row r="1863">
          <cell r="E1863">
            <v>39994</v>
          </cell>
          <cell r="F1863" t="str">
            <v>DBU</v>
          </cell>
        </row>
        <row r="1864">
          <cell r="E1864">
            <v>39994</v>
          </cell>
          <cell r="F1864" t="str">
            <v>DBU</v>
          </cell>
        </row>
        <row r="1865">
          <cell r="E1865">
            <v>39994</v>
          </cell>
          <cell r="F1865" t="str">
            <v>DBU</v>
          </cell>
        </row>
        <row r="1866">
          <cell r="E1866">
            <v>39994</v>
          </cell>
          <cell r="F1866" t="str">
            <v>DBU</v>
          </cell>
        </row>
        <row r="1867">
          <cell r="E1867">
            <v>39994</v>
          </cell>
          <cell r="F1867" t="str">
            <v>DBU</v>
          </cell>
        </row>
        <row r="1868">
          <cell r="E1868">
            <v>39994</v>
          </cell>
          <cell r="F1868" t="str">
            <v>DBU</v>
          </cell>
        </row>
        <row r="1869">
          <cell r="E1869">
            <v>39994</v>
          </cell>
          <cell r="F1869" t="str">
            <v>DBU</v>
          </cell>
        </row>
        <row r="1870">
          <cell r="E1870">
            <v>39994</v>
          </cell>
          <cell r="F1870" t="str">
            <v>DBU</v>
          </cell>
        </row>
        <row r="1871">
          <cell r="E1871">
            <v>39994</v>
          </cell>
          <cell r="F1871" t="str">
            <v>DBU</v>
          </cell>
        </row>
        <row r="1872">
          <cell r="E1872">
            <v>39994</v>
          </cell>
          <cell r="F1872" t="str">
            <v>DBU</v>
          </cell>
        </row>
        <row r="1873">
          <cell r="E1873">
            <v>39994</v>
          </cell>
          <cell r="F1873" t="str">
            <v>DBU</v>
          </cell>
        </row>
        <row r="1874">
          <cell r="E1874">
            <v>39994</v>
          </cell>
          <cell r="F1874" t="str">
            <v>DBU</v>
          </cell>
        </row>
        <row r="1875">
          <cell r="E1875">
            <v>39994</v>
          </cell>
          <cell r="F1875" t="str">
            <v>DBU</v>
          </cell>
        </row>
        <row r="1876">
          <cell r="E1876">
            <v>39994</v>
          </cell>
          <cell r="F1876" t="str">
            <v>DBU</v>
          </cell>
        </row>
        <row r="1877">
          <cell r="E1877">
            <v>39994</v>
          </cell>
          <cell r="F1877" t="str">
            <v>DBU</v>
          </cell>
        </row>
        <row r="1878">
          <cell r="E1878">
            <v>39994</v>
          </cell>
          <cell r="F1878" t="str">
            <v>DBU</v>
          </cell>
        </row>
        <row r="1879">
          <cell r="E1879">
            <v>39994</v>
          </cell>
          <cell r="F1879" t="str">
            <v>DBU</v>
          </cell>
        </row>
        <row r="1880">
          <cell r="E1880">
            <v>39994</v>
          </cell>
          <cell r="F1880" t="str">
            <v>DBU</v>
          </cell>
        </row>
        <row r="1881">
          <cell r="E1881">
            <v>39994</v>
          </cell>
          <cell r="F1881" t="str">
            <v>DBU</v>
          </cell>
        </row>
        <row r="1882">
          <cell r="E1882">
            <v>39994</v>
          </cell>
          <cell r="F1882" t="str">
            <v>DBU</v>
          </cell>
        </row>
        <row r="1883">
          <cell r="E1883">
            <v>39994</v>
          </cell>
          <cell r="F1883" t="str">
            <v>DBU</v>
          </cell>
        </row>
        <row r="1884">
          <cell r="E1884">
            <v>39994</v>
          </cell>
          <cell r="F1884" t="str">
            <v>DBU</v>
          </cell>
        </row>
        <row r="1885">
          <cell r="E1885">
            <v>39994</v>
          </cell>
          <cell r="F1885" t="str">
            <v>DBU</v>
          </cell>
        </row>
        <row r="1886">
          <cell r="E1886">
            <v>39994</v>
          </cell>
          <cell r="F1886" t="str">
            <v>DBU</v>
          </cell>
        </row>
        <row r="1887">
          <cell r="E1887">
            <v>39994</v>
          </cell>
          <cell r="F1887" t="str">
            <v>DBU</v>
          </cell>
        </row>
        <row r="1888">
          <cell r="E1888">
            <v>39994</v>
          </cell>
          <cell r="F1888" t="str">
            <v>DBU</v>
          </cell>
        </row>
        <row r="1889">
          <cell r="E1889">
            <v>39994</v>
          </cell>
          <cell r="F1889" t="str">
            <v>DBU</v>
          </cell>
        </row>
        <row r="1890">
          <cell r="E1890">
            <v>39994</v>
          </cell>
          <cell r="F1890" t="str">
            <v>DBU</v>
          </cell>
        </row>
        <row r="1891">
          <cell r="E1891">
            <v>39994</v>
          </cell>
          <cell r="F1891" t="str">
            <v>DBU</v>
          </cell>
        </row>
        <row r="1892">
          <cell r="E1892">
            <v>39994</v>
          </cell>
          <cell r="F1892" t="str">
            <v>DBU</v>
          </cell>
        </row>
        <row r="1893">
          <cell r="E1893">
            <v>39994</v>
          </cell>
          <cell r="F1893" t="str">
            <v>DBU</v>
          </cell>
        </row>
        <row r="1894">
          <cell r="E1894">
            <v>39994</v>
          </cell>
          <cell r="F1894" t="str">
            <v>DBU</v>
          </cell>
        </row>
        <row r="1895">
          <cell r="E1895">
            <v>39994</v>
          </cell>
          <cell r="F1895" t="str">
            <v>DBU</v>
          </cell>
        </row>
        <row r="1896">
          <cell r="E1896">
            <v>39994</v>
          </cell>
          <cell r="F1896" t="str">
            <v>DBU</v>
          </cell>
        </row>
        <row r="1897">
          <cell r="E1897">
            <v>39994</v>
          </cell>
          <cell r="F1897" t="str">
            <v>DBU</v>
          </cell>
        </row>
        <row r="1898">
          <cell r="E1898">
            <v>39994</v>
          </cell>
          <cell r="F1898" t="str">
            <v>DBU</v>
          </cell>
        </row>
        <row r="1899">
          <cell r="E1899">
            <v>39994</v>
          </cell>
          <cell r="F1899" t="str">
            <v>DBU</v>
          </cell>
        </row>
        <row r="1900">
          <cell r="E1900">
            <v>39994</v>
          </cell>
          <cell r="F1900" t="str">
            <v>DBU</v>
          </cell>
        </row>
        <row r="1901">
          <cell r="E1901">
            <v>39994</v>
          </cell>
          <cell r="F1901" t="str">
            <v>DBU</v>
          </cell>
        </row>
        <row r="1902">
          <cell r="E1902">
            <v>39994</v>
          </cell>
          <cell r="F1902" t="str">
            <v>DBU</v>
          </cell>
        </row>
        <row r="1903">
          <cell r="E1903">
            <v>39994</v>
          </cell>
          <cell r="F1903" t="str">
            <v>DBU</v>
          </cell>
        </row>
        <row r="1904">
          <cell r="E1904">
            <v>39994</v>
          </cell>
          <cell r="F1904" t="str">
            <v>DBU</v>
          </cell>
        </row>
        <row r="1905">
          <cell r="E1905">
            <v>39994</v>
          </cell>
          <cell r="F1905" t="str">
            <v>DBU</v>
          </cell>
        </row>
        <row r="1906">
          <cell r="E1906">
            <v>39994</v>
          </cell>
          <cell r="F1906" t="str">
            <v>DBU</v>
          </cell>
        </row>
        <row r="1907">
          <cell r="E1907">
            <v>39994</v>
          </cell>
          <cell r="F1907" t="str">
            <v>DBU</v>
          </cell>
        </row>
        <row r="1908">
          <cell r="E1908">
            <v>39994</v>
          </cell>
          <cell r="F1908" t="str">
            <v>DBU</v>
          </cell>
        </row>
        <row r="1909">
          <cell r="E1909">
            <v>39994</v>
          </cell>
          <cell r="F1909" t="str">
            <v>DBU</v>
          </cell>
        </row>
        <row r="1910">
          <cell r="E1910">
            <v>39994</v>
          </cell>
          <cell r="F1910" t="str">
            <v>DBU</v>
          </cell>
        </row>
        <row r="1911">
          <cell r="E1911">
            <v>39994</v>
          </cell>
          <cell r="F1911" t="str">
            <v>DBU</v>
          </cell>
        </row>
        <row r="1912">
          <cell r="E1912">
            <v>39994</v>
          </cell>
          <cell r="F1912" t="str">
            <v>DBU</v>
          </cell>
        </row>
        <row r="1913">
          <cell r="E1913">
            <v>39994</v>
          </cell>
          <cell r="F1913" t="str">
            <v>DBU</v>
          </cell>
        </row>
        <row r="1914">
          <cell r="E1914">
            <v>39994</v>
          </cell>
          <cell r="F1914" t="str">
            <v>DBU</v>
          </cell>
        </row>
        <row r="1915">
          <cell r="E1915">
            <v>39994</v>
          </cell>
          <cell r="F1915" t="str">
            <v>DBU</v>
          </cell>
        </row>
        <row r="1916">
          <cell r="E1916">
            <v>39994</v>
          </cell>
          <cell r="F1916" t="str">
            <v>DBU</v>
          </cell>
        </row>
        <row r="1917">
          <cell r="E1917">
            <v>39994</v>
          </cell>
          <cell r="F1917" t="str">
            <v>DBU</v>
          </cell>
        </row>
        <row r="1918">
          <cell r="E1918">
            <v>39994</v>
          </cell>
          <cell r="F1918" t="str">
            <v>DBU</v>
          </cell>
        </row>
        <row r="1919">
          <cell r="E1919">
            <v>39994</v>
          </cell>
          <cell r="F1919" t="str">
            <v>DBU</v>
          </cell>
        </row>
        <row r="1920">
          <cell r="E1920">
            <v>39994</v>
          </cell>
          <cell r="F1920" t="str">
            <v>DBU</v>
          </cell>
        </row>
        <row r="1921">
          <cell r="E1921">
            <v>39994</v>
          </cell>
          <cell r="F1921" t="str">
            <v>DBU</v>
          </cell>
        </row>
        <row r="1922">
          <cell r="E1922">
            <v>39994</v>
          </cell>
          <cell r="F1922" t="str">
            <v>DBU</v>
          </cell>
        </row>
        <row r="1923">
          <cell r="E1923">
            <v>39994</v>
          </cell>
          <cell r="F1923" t="str">
            <v>DBU</v>
          </cell>
        </row>
        <row r="1924">
          <cell r="E1924">
            <v>39994</v>
          </cell>
          <cell r="F1924" t="str">
            <v>DBU</v>
          </cell>
        </row>
        <row r="1925">
          <cell r="E1925">
            <v>39994</v>
          </cell>
          <cell r="F1925" t="str">
            <v>DBU</v>
          </cell>
        </row>
        <row r="1926">
          <cell r="E1926">
            <v>39994</v>
          </cell>
          <cell r="F1926" t="str">
            <v>DBU</v>
          </cell>
        </row>
        <row r="1927">
          <cell r="E1927">
            <v>39994</v>
          </cell>
          <cell r="F1927" t="str">
            <v>DBU</v>
          </cell>
        </row>
        <row r="1928">
          <cell r="E1928">
            <v>39994</v>
          </cell>
          <cell r="F1928" t="str">
            <v>DBU</v>
          </cell>
        </row>
        <row r="1929">
          <cell r="E1929">
            <v>39994</v>
          </cell>
          <cell r="F1929" t="str">
            <v>DBU</v>
          </cell>
        </row>
        <row r="1930">
          <cell r="E1930">
            <v>39994</v>
          </cell>
          <cell r="F1930" t="str">
            <v>DBU</v>
          </cell>
        </row>
        <row r="1931">
          <cell r="E1931">
            <v>39994</v>
          </cell>
          <cell r="F1931" t="str">
            <v>DBU</v>
          </cell>
        </row>
        <row r="1932">
          <cell r="E1932">
            <v>39994</v>
          </cell>
          <cell r="F1932" t="str">
            <v>DBU</v>
          </cell>
        </row>
        <row r="1933">
          <cell r="E1933">
            <v>39994</v>
          </cell>
          <cell r="F1933" t="str">
            <v>DBU</v>
          </cell>
        </row>
        <row r="1934">
          <cell r="E1934">
            <v>39994</v>
          </cell>
          <cell r="F1934" t="str">
            <v>DBU</v>
          </cell>
        </row>
        <row r="1935">
          <cell r="E1935">
            <v>39994</v>
          </cell>
          <cell r="F1935" t="str">
            <v>DBU</v>
          </cell>
        </row>
        <row r="1936">
          <cell r="E1936">
            <v>39994</v>
          </cell>
          <cell r="F1936" t="str">
            <v>DBU</v>
          </cell>
        </row>
        <row r="1937">
          <cell r="E1937">
            <v>39994</v>
          </cell>
          <cell r="F1937" t="str">
            <v>DBU</v>
          </cell>
        </row>
        <row r="1938">
          <cell r="E1938">
            <v>39994</v>
          </cell>
          <cell r="F1938" t="str">
            <v>DBU</v>
          </cell>
        </row>
        <row r="1939">
          <cell r="E1939">
            <v>39994</v>
          </cell>
          <cell r="F1939" t="str">
            <v>DBU</v>
          </cell>
        </row>
        <row r="1940">
          <cell r="E1940">
            <v>39994</v>
          </cell>
          <cell r="F1940" t="str">
            <v>DBU</v>
          </cell>
        </row>
        <row r="1941">
          <cell r="E1941">
            <v>39994</v>
          </cell>
          <cell r="F1941" t="str">
            <v>DBU</v>
          </cell>
        </row>
        <row r="1942">
          <cell r="E1942">
            <v>39994</v>
          </cell>
          <cell r="F1942" t="str">
            <v>DBU</v>
          </cell>
        </row>
        <row r="1943">
          <cell r="E1943">
            <v>39994</v>
          </cell>
          <cell r="F1943" t="str">
            <v>DBU</v>
          </cell>
        </row>
        <row r="1944">
          <cell r="F1944" t="str">
            <v>DBU</v>
          </cell>
        </row>
        <row r="1945">
          <cell r="F1945" t="str">
            <v>DBU</v>
          </cell>
        </row>
        <row r="1946">
          <cell r="F1946" t="str">
            <v>DBU</v>
          </cell>
        </row>
        <row r="1947">
          <cell r="E1947">
            <v>39994</v>
          </cell>
          <cell r="F1947" t="str">
            <v>DBU</v>
          </cell>
        </row>
        <row r="1948">
          <cell r="E1948">
            <v>39994</v>
          </cell>
          <cell r="F1948" t="str">
            <v>DBU</v>
          </cell>
        </row>
        <row r="1949">
          <cell r="E1949">
            <v>39994</v>
          </cell>
          <cell r="F1949" t="str">
            <v>DBU</v>
          </cell>
        </row>
        <row r="1950">
          <cell r="E1950">
            <v>39994</v>
          </cell>
          <cell r="F1950" t="str">
            <v>DBU</v>
          </cell>
        </row>
        <row r="1951">
          <cell r="E1951">
            <v>39994</v>
          </cell>
          <cell r="F1951" t="str">
            <v>DBU</v>
          </cell>
        </row>
        <row r="1952">
          <cell r="E1952">
            <v>39994</v>
          </cell>
          <cell r="F1952" t="str">
            <v>DBU</v>
          </cell>
        </row>
        <row r="1953">
          <cell r="E1953">
            <v>39994</v>
          </cell>
          <cell r="F1953" t="str">
            <v>DBU</v>
          </cell>
        </row>
        <row r="1954">
          <cell r="E1954">
            <v>39994</v>
          </cell>
          <cell r="F1954" t="str">
            <v>DBU</v>
          </cell>
        </row>
        <row r="1955">
          <cell r="E1955">
            <v>39994</v>
          </cell>
          <cell r="F1955" t="str">
            <v>DBU</v>
          </cell>
        </row>
        <row r="1956">
          <cell r="E1956">
            <v>39994</v>
          </cell>
          <cell r="F1956" t="str">
            <v>DBU</v>
          </cell>
        </row>
        <row r="1957">
          <cell r="E1957">
            <v>39994</v>
          </cell>
          <cell r="F1957" t="str">
            <v>DBU</v>
          </cell>
        </row>
        <row r="1958">
          <cell r="E1958">
            <v>39994</v>
          </cell>
          <cell r="F1958" t="str">
            <v>DBU</v>
          </cell>
        </row>
        <row r="1959">
          <cell r="E1959">
            <v>39994</v>
          </cell>
          <cell r="F1959" t="str">
            <v>DBU</v>
          </cell>
        </row>
        <row r="1960">
          <cell r="E1960">
            <v>39994</v>
          </cell>
          <cell r="F1960" t="str">
            <v>DBU</v>
          </cell>
        </row>
        <row r="1961">
          <cell r="E1961">
            <v>39994</v>
          </cell>
          <cell r="F1961" t="str">
            <v>DBU</v>
          </cell>
        </row>
        <row r="1962">
          <cell r="E1962">
            <v>39994</v>
          </cell>
          <cell r="F1962" t="str">
            <v>DBU</v>
          </cell>
        </row>
        <row r="1963">
          <cell r="E1963">
            <v>39994</v>
          </cell>
          <cell r="F1963" t="str">
            <v>DBU</v>
          </cell>
        </row>
        <row r="1964">
          <cell r="E1964">
            <v>39994</v>
          </cell>
          <cell r="F1964" t="str">
            <v>DBU</v>
          </cell>
        </row>
        <row r="1965">
          <cell r="E1965">
            <v>39994</v>
          </cell>
          <cell r="F1965" t="str">
            <v>DBU</v>
          </cell>
        </row>
        <row r="1966">
          <cell r="E1966">
            <v>39994</v>
          </cell>
          <cell r="F1966" t="str">
            <v>DBU</v>
          </cell>
        </row>
        <row r="1967">
          <cell r="E1967">
            <v>39994</v>
          </cell>
          <cell r="F1967" t="str">
            <v>DBU</v>
          </cell>
        </row>
        <row r="1968">
          <cell r="F1968" t="str">
            <v>DBU</v>
          </cell>
        </row>
        <row r="1969">
          <cell r="F1969" t="str">
            <v>DBU</v>
          </cell>
        </row>
        <row r="1970">
          <cell r="F1970" t="str">
            <v>DBU</v>
          </cell>
        </row>
        <row r="1971">
          <cell r="E1971">
            <v>39994</v>
          </cell>
          <cell r="F1971" t="str">
            <v>DBU</v>
          </cell>
        </row>
        <row r="1972">
          <cell r="E1972">
            <v>39994</v>
          </cell>
          <cell r="F1972" t="str">
            <v>DBU</v>
          </cell>
        </row>
        <row r="1973">
          <cell r="E1973">
            <v>39994</v>
          </cell>
          <cell r="F1973" t="str">
            <v>DBU</v>
          </cell>
        </row>
        <row r="1974">
          <cell r="E1974">
            <v>39994</v>
          </cell>
          <cell r="F1974" t="str">
            <v>DBU</v>
          </cell>
        </row>
        <row r="1975">
          <cell r="E1975">
            <v>39994</v>
          </cell>
          <cell r="F1975" t="str">
            <v>DBU</v>
          </cell>
        </row>
        <row r="1976">
          <cell r="E1976">
            <v>39994</v>
          </cell>
          <cell r="F1976" t="str">
            <v>DBU</v>
          </cell>
        </row>
        <row r="1977">
          <cell r="E1977">
            <v>39994</v>
          </cell>
          <cell r="F1977" t="str">
            <v>DBU</v>
          </cell>
        </row>
        <row r="1978">
          <cell r="E1978">
            <v>39994</v>
          </cell>
          <cell r="F1978" t="str">
            <v>DBU</v>
          </cell>
        </row>
        <row r="1979">
          <cell r="E1979">
            <v>39994</v>
          </cell>
          <cell r="F1979" t="str">
            <v>DBU</v>
          </cell>
        </row>
        <row r="1980">
          <cell r="E1980">
            <v>39994</v>
          </cell>
          <cell r="F1980" t="str">
            <v>DBU</v>
          </cell>
        </row>
        <row r="1981">
          <cell r="E1981">
            <v>39994</v>
          </cell>
          <cell r="F1981" t="str">
            <v>DBU</v>
          </cell>
        </row>
        <row r="1982">
          <cell r="E1982">
            <v>39994</v>
          </cell>
          <cell r="F1982" t="str">
            <v>DBU</v>
          </cell>
        </row>
        <row r="1983">
          <cell r="E1983">
            <v>39994</v>
          </cell>
          <cell r="F1983" t="str">
            <v>DBU</v>
          </cell>
        </row>
        <row r="1984">
          <cell r="E1984">
            <v>39994</v>
          </cell>
          <cell r="F1984" t="str">
            <v>DBU</v>
          </cell>
        </row>
        <row r="1985">
          <cell r="E1985">
            <v>39994</v>
          </cell>
          <cell r="F1985" t="str">
            <v>DBU</v>
          </cell>
        </row>
        <row r="1986">
          <cell r="E1986">
            <v>39994</v>
          </cell>
          <cell r="F1986" t="str">
            <v>DBU</v>
          </cell>
        </row>
        <row r="1987">
          <cell r="E1987">
            <v>39994</v>
          </cell>
          <cell r="F1987" t="str">
            <v>DBU</v>
          </cell>
        </row>
        <row r="1988">
          <cell r="E1988">
            <v>39994</v>
          </cell>
          <cell r="F1988" t="str">
            <v>DBU</v>
          </cell>
        </row>
        <row r="1989">
          <cell r="E1989">
            <v>39994</v>
          </cell>
          <cell r="F1989" t="str">
            <v>DBU</v>
          </cell>
        </row>
        <row r="1990">
          <cell r="E1990">
            <v>39994</v>
          </cell>
          <cell r="F1990" t="str">
            <v>DBU</v>
          </cell>
        </row>
        <row r="1991">
          <cell r="E1991">
            <v>39994</v>
          </cell>
          <cell r="F1991" t="str">
            <v>DBU</v>
          </cell>
        </row>
        <row r="1992">
          <cell r="E1992">
            <v>39994</v>
          </cell>
          <cell r="F1992" t="str">
            <v>DBU</v>
          </cell>
        </row>
        <row r="1993">
          <cell r="E1993">
            <v>39994</v>
          </cell>
          <cell r="F1993" t="str">
            <v>DBU</v>
          </cell>
        </row>
        <row r="1994">
          <cell r="E1994">
            <v>39994</v>
          </cell>
          <cell r="F1994" t="str">
            <v>DBU</v>
          </cell>
        </row>
        <row r="1995">
          <cell r="E1995">
            <v>39994</v>
          </cell>
          <cell r="F1995" t="str">
            <v>DBU</v>
          </cell>
        </row>
        <row r="1996">
          <cell r="E1996">
            <v>39994</v>
          </cell>
          <cell r="F1996" t="str">
            <v>DBU</v>
          </cell>
        </row>
        <row r="1997">
          <cell r="E1997">
            <v>39994</v>
          </cell>
          <cell r="F1997" t="str">
            <v>DBU</v>
          </cell>
        </row>
        <row r="1998">
          <cell r="E1998">
            <v>39994</v>
          </cell>
          <cell r="F1998" t="str">
            <v>DBU</v>
          </cell>
        </row>
        <row r="1999">
          <cell r="E1999">
            <v>39994</v>
          </cell>
          <cell r="F1999" t="str">
            <v>DBU</v>
          </cell>
        </row>
        <row r="2000">
          <cell r="E2000">
            <v>39994</v>
          </cell>
          <cell r="F2000" t="str">
            <v>DBU</v>
          </cell>
        </row>
        <row r="2001">
          <cell r="E2001">
            <v>39994</v>
          </cell>
          <cell r="F2001" t="str">
            <v>DBU</v>
          </cell>
        </row>
        <row r="2002">
          <cell r="E2002">
            <v>39994</v>
          </cell>
          <cell r="F2002" t="str">
            <v>DBU</v>
          </cell>
        </row>
        <row r="2003">
          <cell r="E2003">
            <v>39994</v>
          </cell>
          <cell r="F2003" t="str">
            <v>DBU</v>
          </cell>
        </row>
        <row r="2004">
          <cell r="E2004">
            <v>39994</v>
          </cell>
          <cell r="F2004" t="str">
            <v>DBU</v>
          </cell>
        </row>
        <row r="2005">
          <cell r="E2005">
            <v>39994</v>
          </cell>
          <cell r="F2005" t="str">
            <v>DBU</v>
          </cell>
        </row>
        <row r="2006">
          <cell r="E2006">
            <v>39994</v>
          </cell>
          <cell r="F2006" t="str">
            <v>DBU</v>
          </cell>
        </row>
        <row r="2007">
          <cell r="E2007">
            <v>39994</v>
          </cell>
          <cell r="F2007" t="str">
            <v>DBU</v>
          </cell>
        </row>
        <row r="2008">
          <cell r="E2008">
            <v>39994</v>
          </cell>
          <cell r="F2008" t="str">
            <v>DBU</v>
          </cell>
        </row>
        <row r="2009">
          <cell r="E2009">
            <v>39994</v>
          </cell>
          <cell r="F2009" t="str">
            <v>DBU</v>
          </cell>
        </row>
        <row r="2010">
          <cell r="E2010">
            <v>39994</v>
          </cell>
          <cell r="F2010" t="str">
            <v>DBU</v>
          </cell>
        </row>
        <row r="2011">
          <cell r="E2011">
            <v>39994</v>
          </cell>
          <cell r="F2011" t="str">
            <v>DBU</v>
          </cell>
        </row>
        <row r="2012">
          <cell r="E2012">
            <v>39994</v>
          </cell>
          <cell r="F2012" t="str">
            <v>DBU</v>
          </cell>
        </row>
        <row r="2013">
          <cell r="E2013">
            <v>39994</v>
          </cell>
          <cell r="F2013" t="str">
            <v>DBU</v>
          </cell>
        </row>
        <row r="2014">
          <cell r="E2014">
            <v>39994</v>
          </cell>
          <cell r="F2014" t="str">
            <v>DBU</v>
          </cell>
        </row>
        <row r="2015">
          <cell r="E2015">
            <v>39994</v>
          </cell>
          <cell r="F2015" t="str">
            <v>DBU</v>
          </cell>
        </row>
        <row r="2016">
          <cell r="E2016">
            <v>39994</v>
          </cell>
          <cell r="F2016" t="str">
            <v>DBU</v>
          </cell>
        </row>
        <row r="2017">
          <cell r="E2017">
            <v>39994</v>
          </cell>
          <cell r="F2017" t="str">
            <v>DBU</v>
          </cell>
        </row>
        <row r="2018">
          <cell r="E2018">
            <v>39994</v>
          </cell>
          <cell r="F2018" t="str">
            <v>DBU</v>
          </cell>
        </row>
        <row r="2019">
          <cell r="E2019">
            <v>39994</v>
          </cell>
          <cell r="F2019" t="str">
            <v>DBU</v>
          </cell>
        </row>
        <row r="2020">
          <cell r="E2020">
            <v>39994</v>
          </cell>
          <cell r="F2020" t="str">
            <v>DBU</v>
          </cell>
        </row>
        <row r="2021">
          <cell r="E2021">
            <v>39994</v>
          </cell>
          <cell r="F2021" t="str">
            <v>DBU</v>
          </cell>
        </row>
        <row r="2022">
          <cell r="E2022">
            <v>39994</v>
          </cell>
          <cell r="F2022" t="str">
            <v>DBU</v>
          </cell>
        </row>
        <row r="2023">
          <cell r="E2023">
            <v>39994</v>
          </cell>
          <cell r="F2023" t="str">
            <v>DBU</v>
          </cell>
        </row>
        <row r="2024">
          <cell r="E2024">
            <v>39994</v>
          </cell>
          <cell r="F2024" t="str">
            <v>DBU</v>
          </cell>
        </row>
        <row r="2025">
          <cell r="E2025">
            <v>39994</v>
          </cell>
          <cell r="F2025" t="str">
            <v>DBU</v>
          </cell>
        </row>
        <row r="2026">
          <cell r="E2026">
            <v>39994</v>
          </cell>
          <cell r="F2026" t="str">
            <v>DBU</v>
          </cell>
        </row>
        <row r="2027">
          <cell r="E2027">
            <v>39994</v>
          </cell>
          <cell r="F2027" t="str">
            <v>DBU</v>
          </cell>
        </row>
        <row r="2028">
          <cell r="E2028">
            <v>39994</v>
          </cell>
          <cell r="F2028" t="str">
            <v>DBU</v>
          </cell>
        </row>
        <row r="2029">
          <cell r="E2029">
            <v>39994</v>
          </cell>
          <cell r="F2029" t="str">
            <v>DBU</v>
          </cell>
        </row>
        <row r="2030">
          <cell r="E2030">
            <v>39994</v>
          </cell>
          <cell r="F2030" t="str">
            <v>DBU</v>
          </cell>
        </row>
        <row r="2031">
          <cell r="E2031">
            <v>39994</v>
          </cell>
          <cell r="F2031" t="str">
            <v>DBU</v>
          </cell>
        </row>
        <row r="2032">
          <cell r="E2032">
            <v>39994</v>
          </cell>
          <cell r="F2032" t="str">
            <v>DBU</v>
          </cell>
        </row>
        <row r="2033">
          <cell r="E2033">
            <v>39994</v>
          </cell>
          <cell r="F2033" t="str">
            <v>DBU</v>
          </cell>
        </row>
        <row r="2034">
          <cell r="F2034" t="str">
            <v>DBU</v>
          </cell>
        </row>
        <row r="2035">
          <cell r="F2035" t="str">
            <v>DBU</v>
          </cell>
        </row>
        <row r="2036">
          <cell r="F2036" t="str">
            <v>DBU</v>
          </cell>
        </row>
        <row r="2037">
          <cell r="E2037">
            <v>39994</v>
          </cell>
          <cell r="F2037" t="str">
            <v>DBU</v>
          </cell>
        </row>
        <row r="2038">
          <cell r="E2038">
            <v>39994</v>
          </cell>
          <cell r="F2038" t="str">
            <v>DBU</v>
          </cell>
        </row>
        <row r="2039">
          <cell r="E2039">
            <v>39994</v>
          </cell>
          <cell r="F2039" t="str">
            <v>DBU</v>
          </cell>
        </row>
        <row r="2040">
          <cell r="E2040">
            <v>39994</v>
          </cell>
          <cell r="F2040" t="str">
            <v>DBU</v>
          </cell>
        </row>
        <row r="2041">
          <cell r="E2041">
            <v>39994</v>
          </cell>
          <cell r="F2041" t="str">
            <v>DBU</v>
          </cell>
        </row>
        <row r="2042">
          <cell r="E2042">
            <v>39994</v>
          </cell>
          <cell r="F2042" t="str">
            <v>DBU</v>
          </cell>
        </row>
        <row r="2043">
          <cell r="E2043">
            <v>39994</v>
          </cell>
          <cell r="F2043" t="str">
            <v>DBU</v>
          </cell>
        </row>
        <row r="2044">
          <cell r="E2044">
            <v>39994</v>
          </cell>
          <cell r="F2044" t="str">
            <v>DBU</v>
          </cell>
        </row>
        <row r="2045">
          <cell r="E2045">
            <v>39994</v>
          </cell>
          <cell r="F2045" t="str">
            <v>DBU</v>
          </cell>
        </row>
        <row r="2046">
          <cell r="E2046">
            <v>39994</v>
          </cell>
          <cell r="F2046" t="str">
            <v>DBU</v>
          </cell>
        </row>
        <row r="2047">
          <cell r="E2047">
            <v>39994</v>
          </cell>
          <cell r="F2047" t="str">
            <v>DBU</v>
          </cell>
        </row>
        <row r="2048">
          <cell r="E2048">
            <v>39994</v>
          </cell>
          <cell r="F2048" t="str">
            <v>DBU</v>
          </cell>
        </row>
        <row r="2049">
          <cell r="E2049">
            <v>39994</v>
          </cell>
          <cell r="F2049" t="str">
            <v>DBU</v>
          </cell>
        </row>
        <row r="2050">
          <cell r="E2050">
            <v>39994</v>
          </cell>
          <cell r="F2050" t="str">
            <v>DBU</v>
          </cell>
        </row>
        <row r="2051">
          <cell r="E2051">
            <v>39994</v>
          </cell>
          <cell r="F2051" t="str">
            <v>DBU</v>
          </cell>
        </row>
        <row r="2052">
          <cell r="E2052">
            <v>39994</v>
          </cell>
          <cell r="F2052" t="str">
            <v>DBU</v>
          </cell>
        </row>
        <row r="2053">
          <cell r="E2053">
            <v>39994</v>
          </cell>
          <cell r="F2053" t="str">
            <v>DBU</v>
          </cell>
        </row>
        <row r="2054">
          <cell r="E2054">
            <v>39994</v>
          </cell>
          <cell r="F2054" t="str">
            <v>DBU</v>
          </cell>
        </row>
        <row r="2055">
          <cell r="E2055">
            <v>39994</v>
          </cell>
          <cell r="F2055" t="str">
            <v>DBU</v>
          </cell>
        </row>
        <row r="2056">
          <cell r="E2056">
            <v>39994</v>
          </cell>
          <cell r="F2056" t="str">
            <v>DBU</v>
          </cell>
        </row>
        <row r="2057">
          <cell r="E2057">
            <v>39994</v>
          </cell>
          <cell r="F2057" t="str">
            <v>DBU</v>
          </cell>
        </row>
        <row r="2058">
          <cell r="E2058">
            <v>39994</v>
          </cell>
          <cell r="F2058" t="str">
            <v>DBU</v>
          </cell>
        </row>
        <row r="2059">
          <cell r="E2059">
            <v>39994</v>
          </cell>
          <cell r="F2059" t="str">
            <v>DBU</v>
          </cell>
        </row>
        <row r="2060">
          <cell r="E2060">
            <v>39994</v>
          </cell>
          <cell r="F2060" t="str">
            <v>DBU</v>
          </cell>
        </row>
        <row r="2061">
          <cell r="E2061">
            <v>39994</v>
          </cell>
          <cell r="F2061" t="str">
            <v>DBU</v>
          </cell>
        </row>
        <row r="2062">
          <cell r="E2062">
            <v>39994</v>
          </cell>
          <cell r="F2062" t="str">
            <v>DBU</v>
          </cell>
        </row>
        <row r="2063">
          <cell r="E2063">
            <v>39994</v>
          </cell>
          <cell r="F2063" t="str">
            <v>DBU</v>
          </cell>
        </row>
        <row r="2064">
          <cell r="E2064">
            <v>39994</v>
          </cell>
          <cell r="F2064" t="str">
            <v>DBU</v>
          </cell>
        </row>
        <row r="2065">
          <cell r="E2065">
            <v>39994</v>
          </cell>
          <cell r="F2065" t="str">
            <v>DBU</v>
          </cell>
        </row>
        <row r="2066">
          <cell r="E2066">
            <v>39994</v>
          </cell>
          <cell r="F2066" t="str">
            <v>DBU</v>
          </cell>
        </row>
        <row r="2067">
          <cell r="E2067">
            <v>39994</v>
          </cell>
          <cell r="F2067" t="str">
            <v>DBU</v>
          </cell>
        </row>
        <row r="2068">
          <cell r="E2068">
            <v>39994</v>
          </cell>
          <cell r="F2068" t="str">
            <v>DBU</v>
          </cell>
        </row>
        <row r="2069">
          <cell r="E2069">
            <v>39994</v>
          </cell>
          <cell r="F2069" t="str">
            <v>DBU</v>
          </cell>
        </row>
        <row r="2070">
          <cell r="E2070">
            <v>39994</v>
          </cell>
          <cell r="F2070" t="str">
            <v>DBU</v>
          </cell>
        </row>
        <row r="2071">
          <cell r="E2071">
            <v>39994</v>
          </cell>
          <cell r="F2071" t="str">
            <v>DBU</v>
          </cell>
        </row>
        <row r="2072">
          <cell r="E2072">
            <v>39994</v>
          </cell>
          <cell r="F2072" t="str">
            <v>DBU</v>
          </cell>
        </row>
        <row r="2073">
          <cell r="E2073">
            <v>39994</v>
          </cell>
          <cell r="F2073" t="str">
            <v>DBU</v>
          </cell>
        </row>
        <row r="2074">
          <cell r="E2074">
            <v>39994</v>
          </cell>
          <cell r="F2074" t="str">
            <v>DBU</v>
          </cell>
        </row>
        <row r="2075">
          <cell r="E2075">
            <v>39994</v>
          </cell>
          <cell r="F2075" t="str">
            <v>DBU</v>
          </cell>
        </row>
        <row r="2076">
          <cell r="E2076">
            <v>39994</v>
          </cell>
          <cell r="F2076" t="str">
            <v>DBU</v>
          </cell>
        </row>
        <row r="2077">
          <cell r="E2077">
            <v>39994</v>
          </cell>
          <cell r="F2077" t="str">
            <v>DBU</v>
          </cell>
        </row>
        <row r="2078">
          <cell r="E2078">
            <v>39994</v>
          </cell>
          <cell r="F2078" t="str">
            <v>DBU</v>
          </cell>
        </row>
        <row r="2079">
          <cell r="E2079">
            <v>39994</v>
          </cell>
          <cell r="F2079" t="str">
            <v>DBU</v>
          </cell>
        </row>
        <row r="2080">
          <cell r="E2080">
            <v>39994</v>
          </cell>
          <cell r="F2080" t="str">
            <v>DBU</v>
          </cell>
        </row>
        <row r="2081">
          <cell r="E2081">
            <v>39994</v>
          </cell>
          <cell r="F2081" t="str">
            <v>DBU</v>
          </cell>
        </row>
        <row r="2082">
          <cell r="E2082">
            <v>39994</v>
          </cell>
          <cell r="F2082" t="str">
            <v>DBU</v>
          </cell>
        </row>
        <row r="2083">
          <cell r="E2083">
            <v>39994</v>
          </cell>
          <cell r="F2083" t="str">
            <v>DBU</v>
          </cell>
        </row>
        <row r="2084">
          <cell r="E2084">
            <v>39994</v>
          </cell>
          <cell r="F2084" t="str">
            <v>DBU</v>
          </cell>
        </row>
        <row r="2085">
          <cell r="E2085">
            <v>39994</v>
          </cell>
          <cell r="F2085" t="str">
            <v>DBU</v>
          </cell>
        </row>
        <row r="2086">
          <cell r="E2086">
            <v>39994</v>
          </cell>
          <cell r="F2086" t="str">
            <v>DBU</v>
          </cell>
        </row>
        <row r="2087">
          <cell r="E2087">
            <v>39994</v>
          </cell>
          <cell r="F2087" t="str">
            <v>DBU</v>
          </cell>
        </row>
        <row r="2088">
          <cell r="E2088">
            <v>39994</v>
          </cell>
          <cell r="F2088" t="str">
            <v>DBU</v>
          </cell>
        </row>
        <row r="2089">
          <cell r="E2089">
            <v>39994</v>
          </cell>
          <cell r="F2089" t="str">
            <v>DBU</v>
          </cell>
        </row>
        <row r="2090">
          <cell r="E2090">
            <v>39994</v>
          </cell>
          <cell r="F2090" t="str">
            <v>DBU</v>
          </cell>
        </row>
        <row r="2091">
          <cell r="E2091">
            <v>39994</v>
          </cell>
          <cell r="F2091" t="str">
            <v>DBU</v>
          </cell>
        </row>
        <row r="2092">
          <cell r="E2092">
            <v>39994</v>
          </cell>
          <cell r="F2092" t="str">
            <v>DBU</v>
          </cell>
        </row>
        <row r="2093">
          <cell r="E2093">
            <v>39994</v>
          </cell>
          <cell r="F2093" t="str">
            <v>DBU</v>
          </cell>
        </row>
        <row r="2094">
          <cell r="E2094">
            <v>39994</v>
          </cell>
          <cell r="F2094" t="str">
            <v>DBU</v>
          </cell>
        </row>
        <row r="2095">
          <cell r="E2095">
            <v>39994</v>
          </cell>
          <cell r="F2095" t="str">
            <v>DBU</v>
          </cell>
        </row>
        <row r="2096">
          <cell r="E2096">
            <v>39994</v>
          </cell>
          <cell r="F2096" t="str">
            <v>DBU</v>
          </cell>
        </row>
        <row r="2097">
          <cell r="E2097">
            <v>39994</v>
          </cell>
          <cell r="F2097" t="str">
            <v>DBU</v>
          </cell>
        </row>
        <row r="2098">
          <cell r="E2098">
            <v>39994</v>
          </cell>
          <cell r="F2098" t="str">
            <v>DBU</v>
          </cell>
        </row>
        <row r="2099">
          <cell r="F2099" t="str">
            <v>DBU</v>
          </cell>
        </row>
        <row r="2100">
          <cell r="F2100" t="str">
            <v>DBU</v>
          </cell>
        </row>
        <row r="2101">
          <cell r="F2101" t="str">
            <v>DBU</v>
          </cell>
        </row>
        <row r="2102">
          <cell r="F2102" t="str">
            <v>DBU</v>
          </cell>
        </row>
      </sheetData>
      <sheetData sheetId="3" refreshError="1"/>
      <sheetData sheetId="4">
        <row r="7">
          <cell r="C7">
            <v>8664208.6699999999</v>
          </cell>
        </row>
      </sheetData>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PL"/>
      <sheetName val="CON IN"/>
      <sheetName val="BS "/>
      <sheetName val="Equity"/>
      <sheetName val="Sheet40"/>
      <sheetName val="Cash flows"/>
      <sheetName val="Maturity"/>
      <sheetName val="Note 4 ,5,6,7,8,9"/>
      <sheetName val="Note 10,11,12"/>
      <sheetName val="Note 13 -14"/>
      <sheetName val="workings PL"/>
      <sheetName val="Detail PL (2)"/>
      <sheetName val="Detail PL"/>
      <sheetName val="PLC PL"/>
      <sheetName val="Ruwan"/>
      <sheetName val="2010 adj"/>
      <sheetName val="PLC Investment"/>
      <sheetName val="Sheet14"/>
      <sheetName val="Sheet8"/>
      <sheetName val="Sheet5"/>
      <sheetName val="Sheet1"/>
      <sheetName val="Sheet21"/>
      <sheetName val="Peoples Travels"/>
      <sheetName val="working BS"/>
      <sheetName val="CTB 1"/>
      <sheetName val="Ass16-26"/>
      <sheetName val="PLC BS Assets"/>
      <sheetName val="PLC BS LIa"/>
      <sheetName val="PLC Reserve"/>
      <sheetName val="PLC capital"/>
      <sheetName val="FS"/>
      <sheetName val="Fs before adj"/>
      <sheetName val="Note 15"/>
      <sheetName val="Fixed asset 27- 29"/>
      <sheetName val="Sheet6"/>
      <sheetName val="Sheet23"/>
      <sheetName val="Detail Pl "/>
      <sheetName val="Sheet3"/>
      <sheetName val="Detailed P&amp; L"/>
      <sheetName val="6,7,8"/>
      <sheetName val="Sheet20"/>
      <sheetName val="Sheet25"/>
      <sheetName val="Sheet26"/>
      <sheetName val="Sheet27"/>
      <sheetName val="Sheet28"/>
      <sheetName val="Sheet29"/>
      <sheetName val="Sheet30"/>
      <sheetName val="Sheet31"/>
      <sheetName val="Sheet32"/>
      <sheetName val="Sheet33"/>
      <sheetName val="PLC PPE"/>
      <sheetName val="PTL PPE"/>
      <sheetName val="Liabily30 -36"/>
      <sheetName val="Sheet35"/>
      <sheetName val="Sheet36"/>
      <sheetName val="Sheet37"/>
      <sheetName val="Sheet38"/>
      <sheetName val="Lia 37-40"/>
      <sheetName val="Sheet39"/>
      <sheetName val="46.COMMITMENT"/>
      <sheetName val="47-49"/>
      <sheetName val="Reserve"/>
      <sheetName val="Sheet41"/>
      <sheetName val="PLC EQUITY"/>
      <sheetName val="Sheet43"/>
      <sheetName val="Sheet44"/>
      <sheetName val="Sheet12"/>
      <sheetName val="Sheet7"/>
      <sheetName val="Edit RPT "/>
      <sheetName val="34-Segment"/>
      <sheetName val="34.1-Geo.Segment"/>
      <sheetName val="maturity 35"/>
      <sheetName val="value"/>
      <sheetName val="VALUE ADD"/>
      <sheetName val="US$ AC"/>
      <sheetName val="Group"/>
      <sheetName val="IFRS ADJ"/>
      <sheetName val="Unquoted Valuation Summary"/>
      <sheetName val=" IFRS Staff Loans"/>
      <sheetName val="IFRS PENSION"/>
      <sheetName val="PENSION WORKING"/>
      <sheetName val="ASSADJ 2012"/>
      <sheetName val="ASSADJ 2011"/>
      <sheetName val="Sheet2"/>
      <sheetName val="Sheet4"/>
      <sheetName val="Sheet2 (2)"/>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A1" t="str">
            <v>Call money Lending - Banks - LKR</v>
          </cell>
          <cell r="B1">
            <v>162946951.40000001</v>
          </cell>
          <cell r="C1">
            <v>4.0999999999999996</v>
          </cell>
          <cell r="D1">
            <v>4.01</v>
          </cell>
        </row>
        <row r="2">
          <cell r="A2" t="str">
            <v>Call money Lending - Others</v>
          </cell>
          <cell r="C2">
            <v>4.0999999999999996</v>
          </cell>
          <cell r="D2">
            <v>4.01</v>
          </cell>
        </row>
        <row r="3">
          <cell r="A3" t="str">
            <v>Disc. Accreted - Pronotes Trading</v>
          </cell>
          <cell r="B3">
            <v>0</v>
          </cell>
          <cell r="C3">
            <v>4.0999999999999996</v>
          </cell>
          <cell r="D3">
            <v>4.0999999999999996</v>
          </cell>
        </row>
        <row r="4">
          <cell r="A4" t="str">
            <v>Disc. Accreted - Leases</v>
          </cell>
          <cell r="B4">
            <v>0</v>
          </cell>
          <cell r="C4">
            <v>4.0999999999999996</v>
          </cell>
          <cell r="D4">
            <v>4.0999999999999996</v>
          </cell>
        </row>
        <row r="5">
          <cell r="A5" t="str">
            <v>Disc. Accreted - Commercial papers</v>
          </cell>
          <cell r="B5">
            <v>0</v>
          </cell>
          <cell r="C5">
            <v>4.0999999999999996</v>
          </cell>
          <cell r="D5">
            <v>4.0999999999999996</v>
          </cell>
        </row>
        <row r="6">
          <cell r="A6" t="str">
            <v>Interest Received on PDU capital Investment</v>
          </cell>
          <cell r="B6">
            <v>0</v>
          </cell>
          <cell r="C6">
            <v>4.0999999999999996</v>
          </cell>
          <cell r="D6">
            <v>4.0999999999999996</v>
          </cell>
        </row>
        <row r="7">
          <cell r="A7" t="str">
            <v>Disc. Accreted - Pro notes investment</v>
          </cell>
          <cell r="B7">
            <v>0</v>
          </cell>
          <cell r="C7">
            <v>4.0999999999999996</v>
          </cell>
          <cell r="D7">
            <v>4.0999999999999996</v>
          </cell>
        </row>
        <row r="8">
          <cell r="A8" t="str">
            <v>Call Deposits - Banks</v>
          </cell>
          <cell r="B8">
            <v>-544656824.80000007</v>
          </cell>
          <cell r="C8">
            <v>4.1100000000000003</v>
          </cell>
          <cell r="D8">
            <v>4.1100000000000003</v>
          </cell>
        </row>
        <row r="9">
          <cell r="A9" t="str">
            <v>Refinance</v>
          </cell>
          <cell r="B9">
            <v>-200846073.07000002</v>
          </cell>
          <cell r="C9">
            <v>4.1100000000000003</v>
          </cell>
          <cell r="D9">
            <v>4.1100000000000003</v>
          </cell>
        </row>
        <row r="10">
          <cell r="A10" t="str">
            <v>Interest paid PDU Trading A/c</v>
          </cell>
          <cell r="B10">
            <v>0</v>
          </cell>
          <cell r="C10">
            <v>4.1100000000000003</v>
          </cell>
          <cell r="D10">
            <v>4.1100000000000003</v>
          </cell>
        </row>
        <row r="11">
          <cell r="A11" t="str">
            <v>Certificate of Deposits</v>
          </cell>
          <cell r="B11">
            <v>-2087720.83</v>
          </cell>
          <cell r="C11">
            <v>4.1399999999999997</v>
          </cell>
          <cell r="D11">
            <v>4.1399999999999997</v>
          </cell>
        </row>
        <row r="12">
          <cell r="A12" t="str">
            <v>Depos. Held on Usance Bills</v>
          </cell>
          <cell r="B12">
            <v>-92058</v>
          </cell>
          <cell r="C12">
            <v>4.1399999999999997</v>
          </cell>
          <cell r="D12">
            <v>4.1399999999999997</v>
          </cell>
        </row>
        <row r="13">
          <cell r="A13" t="str">
            <v>Extended Deposits- Fixed</v>
          </cell>
          <cell r="B13">
            <v>-577373503</v>
          </cell>
          <cell r="C13">
            <v>4.1399999999999997</v>
          </cell>
          <cell r="D13">
            <v>4.1399999999999997</v>
          </cell>
        </row>
        <row r="14">
          <cell r="A14" t="str">
            <v>Extended Deposits- Savings</v>
          </cell>
          <cell r="B14">
            <v>-27625</v>
          </cell>
          <cell r="C14">
            <v>4.1399999999999997</v>
          </cell>
          <cell r="D14">
            <v>4.1399999999999997</v>
          </cell>
        </row>
        <row r="15">
          <cell r="A15" t="str">
            <v>Fixed Deposits</v>
          </cell>
          <cell r="B15">
            <v>-31519435708.760002</v>
          </cell>
          <cell r="C15">
            <v>4.1399999999999997</v>
          </cell>
          <cell r="D15">
            <v>4.1399999999999997</v>
          </cell>
        </row>
        <row r="16">
          <cell r="A16" t="str">
            <v>I.S.A. Deposits</v>
          </cell>
          <cell r="B16">
            <v>-422562770.11000001</v>
          </cell>
          <cell r="C16">
            <v>4.1399999999999997</v>
          </cell>
          <cell r="D16">
            <v>4.1399999999999997</v>
          </cell>
        </row>
        <row r="17">
          <cell r="A17" t="str">
            <v>Jana Jaya</v>
          </cell>
          <cell r="B17">
            <v>-1136565059</v>
          </cell>
          <cell r="C17">
            <v>4.1399999999999997</v>
          </cell>
          <cell r="D17">
            <v>4.1399999999999997</v>
          </cell>
        </row>
        <row r="18">
          <cell r="A18" t="str">
            <v>Negotiable Savings Certificate</v>
          </cell>
          <cell r="B18">
            <v>-6299534.8200000003</v>
          </cell>
          <cell r="C18">
            <v>4.1399999999999997</v>
          </cell>
          <cell r="D18">
            <v>4.1399999999999997</v>
          </cell>
        </row>
        <row r="19">
          <cell r="A19" t="str">
            <v>Non-trans. Savings Certificate</v>
          </cell>
          <cell r="B19">
            <v>-252691925</v>
          </cell>
          <cell r="C19">
            <v>4.1399999999999997</v>
          </cell>
          <cell r="D19">
            <v>4.1399999999999997</v>
          </cell>
        </row>
        <row r="20">
          <cell r="A20" t="str">
            <v>N.R.F.C.  Savings Accounts</v>
          </cell>
          <cell r="B20">
            <v>-278060096.5</v>
          </cell>
          <cell r="C20">
            <v>4.1399999999999997</v>
          </cell>
          <cell r="D20">
            <v>4.1399999999999997</v>
          </cell>
        </row>
        <row r="21">
          <cell r="A21" t="str">
            <v>N.R.F.C.  Fixed Deposits</v>
          </cell>
          <cell r="B21">
            <v>-1413249569.95</v>
          </cell>
          <cell r="C21">
            <v>4.1399999999999997</v>
          </cell>
          <cell r="D21">
            <v>4.1399999999999997</v>
          </cell>
        </row>
        <row r="22">
          <cell r="A22" t="str">
            <v>Other Deposits</v>
          </cell>
          <cell r="B22">
            <v>-211478350.11000001</v>
          </cell>
          <cell r="C22">
            <v>4.1399999999999997</v>
          </cell>
          <cell r="D22">
            <v>4.1399999999999997</v>
          </cell>
        </row>
        <row r="23">
          <cell r="A23" t="str">
            <v>Savings Deposits</v>
          </cell>
          <cell r="B23">
            <v>-7133133168.9899998</v>
          </cell>
          <cell r="C23">
            <v>4.1399999999999997</v>
          </cell>
          <cell r="D23">
            <v>4.1399999999999997</v>
          </cell>
        </row>
        <row r="24">
          <cell r="A24" t="str">
            <v>Special  Deposits</v>
          </cell>
          <cell r="B24">
            <v>-371675287.60000002</v>
          </cell>
          <cell r="C24">
            <v>4.1399999999999997</v>
          </cell>
          <cell r="D24">
            <v>4.1399999999999997</v>
          </cell>
        </row>
        <row r="25">
          <cell r="A25" t="str">
            <v>Staff Provident Fund</v>
          </cell>
          <cell r="B25">
            <v>-484997780.57999998</v>
          </cell>
          <cell r="C25">
            <v>4.1399999999999997</v>
          </cell>
          <cell r="D25">
            <v>4.1399999999999997</v>
          </cell>
        </row>
        <row r="26">
          <cell r="A26" t="str">
            <v>Staff Security Deposits</v>
          </cell>
          <cell r="B26">
            <v>-2722360.34</v>
          </cell>
          <cell r="C26">
            <v>4.1399999999999997</v>
          </cell>
          <cell r="D26">
            <v>4.1399999999999997</v>
          </cell>
        </row>
        <row r="27">
          <cell r="A27" t="str">
            <v>Borrowings under Re-Purchases</v>
          </cell>
          <cell r="B27">
            <v>-3175418491.9899993</v>
          </cell>
          <cell r="C27">
            <v>4.1500000000000004</v>
          </cell>
          <cell r="D27">
            <v>4.1500000000000004</v>
          </cell>
        </row>
        <row r="28">
          <cell r="A28" t="str">
            <v>Borrowings under Re-Purchases Prom Notes</v>
          </cell>
          <cell r="B28">
            <v>0</v>
          </cell>
          <cell r="C28">
            <v>4.1500000000000004</v>
          </cell>
          <cell r="D28">
            <v>4.1500000000000004</v>
          </cell>
        </row>
        <row r="29">
          <cell r="A29" t="str">
            <v>Call Deposits - Others</v>
          </cell>
          <cell r="B29">
            <v>-2266824828.1669493</v>
          </cell>
          <cell r="C29">
            <v>4.1500000000000004</v>
          </cell>
          <cell r="D29">
            <v>4.1500000000000004</v>
          </cell>
        </row>
        <row r="30">
          <cell r="A30" t="str">
            <v>Refinance U.S. Aid Housing Scheme</v>
          </cell>
          <cell r="B30">
            <v>-193705.2</v>
          </cell>
          <cell r="C30">
            <v>4.1500000000000004</v>
          </cell>
          <cell r="D30">
            <v>4.1500000000000004</v>
          </cell>
        </row>
        <row r="31">
          <cell r="A31" t="str">
            <v>Borrowing from Other Banks</v>
          </cell>
          <cell r="B31">
            <v>0</v>
          </cell>
          <cell r="C31">
            <v>4.1500000000000004</v>
          </cell>
          <cell r="D31">
            <v>4.1500000000000004</v>
          </cell>
        </row>
        <row r="32">
          <cell r="A32" t="str">
            <v>Debentures</v>
          </cell>
          <cell r="B32">
            <v>-1337500000.0000002</v>
          </cell>
          <cell r="C32">
            <v>4.16</v>
          </cell>
          <cell r="D32">
            <v>4.16</v>
          </cell>
        </row>
        <row r="33">
          <cell r="A33" t="str">
            <v>Money Market Lending - Banks - FC</v>
          </cell>
          <cell r="B33">
            <v>88076618.346948862</v>
          </cell>
          <cell r="C33">
            <v>4.2</v>
          </cell>
          <cell r="D33">
            <v>4.2</v>
          </cell>
        </row>
        <row r="34">
          <cell r="A34" t="str">
            <v>Interest Rate Swaps (Net)</v>
          </cell>
          <cell r="B34">
            <v>0</v>
          </cell>
          <cell r="C34">
            <v>4.3</v>
          </cell>
          <cell r="D34">
            <v>4.3</v>
          </cell>
        </row>
        <row r="35">
          <cell r="A35" t="str">
            <v xml:space="preserve">INT SEC 91 DAYS T/BILLTRAD WITH CBSL                                        </v>
          </cell>
          <cell r="B35">
            <v>160886819.38000003</v>
          </cell>
          <cell r="C35">
            <v>4.4000000000000004</v>
          </cell>
          <cell r="D35">
            <v>4.4000000000000004</v>
          </cell>
        </row>
        <row r="36">
          <cell r="A36" t="str">
            <v xml:space="preserve">INT  SEC 182 DAYS T/BILL TRAD WITH CBSL                                        </v>
          </cell>
          <cell r="B36">
            <v>523035007.49000001</v>
          </cell>
          <cell r="C36">
            <v>4.4000000000000004</v>
          </cell>
          <cell r="D36">
            <v>4.4000000000000004</v>
          </cell>
        </row>
        <row r="37">
          <cell r="A37" t="str">
            <v xml:space="preserve">INT  SEC 1 YEAR T/BILL TRAD WITH CBSL                                        </v>
          </cell>
          <cell r="B37">
            <v>582151928.75000012</v>
          </cell>
          <cell r="C37">
            <v>4.4000000000000004</v>
          </cell>
          <cell r="D37">
            <v>4.4000000000000004</v>
          </cell>
        </row>
        <row r="38">
          <cell r="A38" t="str">
            <v xml:space="preserve">INT SL DIASPORA 91 DAYS T/BILL TRAD CBSL                                        </v>
          </cell>
          <cell r="B38">
            <v>9566.7900000000009</v>
          </cell>
          <cell r="C38">
            <v>4.4000000000000004</v>
          </cell>
          <cell r="D38">
            <v>4.4000000000000004</v>
          </cell>
        </row>
        <row r="39">
          <cell r="A39" t="str">
            <v xml:space="preserve">INT SL DIASPORA 182DAYS T/BILL TRA CBSL                                        </v>
          </cell>
          <cell r="B39">
            <v>299.83999999999997</v>
          </cell>
          <cell r="C39">
            <v>4.4000000000000004</v>
          </cell>
          <cell r="D39">
            <v>4.4000000000000004</v>
          </cell>
        </row>
        <row r="40">
          <cell r="A40" t="str">
            <v xml:space="preserve">INT SL DIASPORA 1 YEAR T/BILL TRAD CBSL                                        </v>
          </cell>
          <cell r="B40">
            <v>4058.55</v>
          </cell>
          <cell r="C40">
            <v>4.4000000000000004</v>
          </cell>
          <cell r="D40">
            <v>4.4000000000000004</v>
          </cell>
        </row>
        <row r="41">
          <cell r="A41" t="str">
            <v xml:space="preserve">INT FI-T/BONDS GOSL TAX TRADING CBSL                                        </v>
          </cell>
          <cell r="B41">
            <v>0</v>
          </cell>
          <cell r="C41">
            <v>4.4000000000000004</v>
          </cell>
          <cell r="D41">
            <v>4.4000000000000004</v>
          </cell>
        </row>
        <row r="42">
          <cell r="A42" t="str">
            <v xml:space="preserve">INT FI SEC 91 DAYS T/BILLTRAD WITH CBSL                                        </v>
          </cell>
          <cell r="B42">
            <v>52.17</v>
          </cell>
          <cell r="C42">
            <v>4.4000000000000004</v>
          </cell>
          <cell r="D42">
            <v>4.4000000000000004</v>
          </cell>
        </row>
        <row r="43">
          <cell r="A43" t="str">
            <v xml:space="preserve">INT FI SEC 182 DAY T/BILL TRAD WITH CBSL                                        </v>
          </cell>
          <cell r="B43">
            <v>0</v>
          </cell>
          <cell r="C43">
            <v>4.4000000000000004</v>
          </cell>
          <cell r="D43">
            <v>4.4000000000000004</v>
          </cell>
        </row>
        <row r="44">
          <cell r="A44" t="str">
            <v xml:space="preserve">INT FI SEC 1 YEAR T/BILL TRAD WITH CBSL                                        </v>
          </cell>
          <cell r="B44">
            <v>0</v>
          </cell>
          <cell r="C44">
            <v>4.4000000000000004</v>
          </cell>
          <cell r="D44">
            <v>4.4000000000000004</v>
          </cell>
        </row>
        <row r="45">
          <cell r="A45" t="str">
            <v xml:space="preserve">INT- T/BONDS GOSL TAX TRAD WITH CBSL                                        </v>
          </cell>
          <cell r="B45">
            <v>848237597.48000002</v>
          </cell>
          <cell r="C45">
            <v>4.4000000000000004</v>
          </cell>
          <cell r="D45">
            <v>4.4000000000000004</v>
          </cell>
        </row>
        <row r="46">
          <cell r="A46" t="str">
            <v xml:space="preserve">INT SL DIASPORA-T/BONDS GOSL TRAD CBSL                                        </v>
          </cell>
          <cell r="B46">
            <v>2047345.99</v>
          </cell>
          <cell r="C46">
            <v>4.4000000000000004</v>
          </cell>
          <cell r="D46">
            <v>4.4000000000000004</v>
          </cell>
        </row>
        <row r="47">
          <cell r="A47" t="str">
            <v>Call money Lending - Banks - FC</v>
          </cell>
          <cell r="C47">
            <v>4.5999999999999996</v>
          </cell>
          <cell r="D47">
            <v>4.5999999999999996</v>
          </cell>
        </row>
        <row r="48">
          <cell r="A48" t="str">
            <v xml:space="preserve">Int Income  Term money Lending Bank </v>
          </cell>
          <cell r="B48">
            <v>0</v>
          </cell>
          <cell r="C48">
            <v>4.5999999999999996</v>
          </cell>
          <cell r="D48">
            <v>4.5999999999999996</v>
          </cell>
        </row>
        <row r="49">
          <cell r="A49" t="str">
            <v>Interest  received- repo lending</v>
          </cell>
          <cell r="B49">
            <v>588769087.55999994</v>
          </cell>
          <cell r="C49">
            <v>4.5999999999999996</v>
          </cell>
          <cell r="D49">
            <v>4.5999999999999996</v>
          </cell>
        </row>
        <row r="50">
          <cell r="A50" t="str">
            <v>Block Loans</v>
          </cell>
          <cell r="B50">
            <v>1606581616.26</v>
          </cell>
          <cell r="C50">
            <v>4.7</v>
          </cell>
          <cell r="D50">
            <v>4.7</v>
          </cell>
        </row>
        <row r="51">
          <cell r="A51" t="str">
            <v>Credit Card Facilities</v>
          </cell>
          <cell r="B51">
            <v>232977831.66999999</v>
          </cell>
          <cell r="C51">
            <v>4.7</v>
          </cell>
          <cell r="D51">
            <v>4.7</v>
          </cell>
        </row>
        <row r="52">
          <cell r="A52" t="str">
            <v>Cultivation Loans</v>
          </cell>
          <cell r="B52">
            <v>357785</v>
          </cell>
          <cell r="C52">
            <v>4.7</v>
          </cell>
          <cell r="D52">
            <v>4.7</v>
          </cell>
        </row>
        <row r="53">
          <cell r="A53" t="str">
            <v>Fixed Instalments Loans(EMI)</v>
          </cell>
          <cell r="B53">
            <v>12625239611.790001</v>
          </cell>
          <cell r="C53">
            <v>4.7</v>
          </cell>
          <cell r="D53">
            <v>4.7</v>
          </cell>
        </row>
        <row r="54">
          <cell r="A54" t="str">
            <v>Foreign Bills</v>
          </cell>
          <cell r="B54">
            <v>2967693994.3899999</v>
          </cell>
          <cell r="C54">
            <v>4.7</v>
          </cell>
          <cell r="D54">
            <v>4.7</v>
          </cell>
        </row>
        <row r="55">
          <cell r="A55" t="str">
            <v>Foreign Cover Account</v>
          </cell>
          <cell r="B55">
            <v>0</v>
          </cell>
          <cell r="C55">
            <v>4.7</v>
          </cell>
          <cell r="D55">
            <v>4.7</v>
          </cell>
        </row>
        <row r="56">
          <cell r="A56" t="str">
            <v>Foreign Currancy Loan (Excl: CPC)</v>
          </cell>
          <cell r="B56">
            <v>0</v>
          </cell>
          <cell r="C56">
            <v>4.7</v>
          </cell>
          <cell r="D56">
            <v>4.7</v>
          </cell>
        </row>
        <row r="57">
          <cell r="A57" t="str">
            <v>Foreign Currancy Loan (: CPC)</v>
          </cell>
          <cell r="B57">
            <v>0</v>
          </cell>
          <cell r="C57">
            <v>4.7</v>
          </cell>
          <cell r="D57">
            <v>4.7</v>
          </cell>
        </row>
        <row r="58">
          <cell r="A58" t="str">
            <v>Land Redemption Loans</v>
          </cell>
          <cell r="B58">
            <v>0</v>
          </cell>
          <cell r="C58">
            <v>4.7</v>
          </cell>
          <cell r="D58">
            <v>4.7</v>
          </cell>
        </row>
        <row r="59">
          <cell r="A59" t="str">
            <v>Leases Account</v>
          </cell>
          <cell r="B59">
            <v>12331555.510000002</v>
          </cell>
          <cell r="C59">
            <v>4.7</v>
          </cell>
          <cell r="D59">
            <v>4.7</v>
          </cell>
        </row>
        <row r="60">
          <cell r="A60" t="str">
            <v>Long Term Loans</v>
          </cell>
          <cell r="B60">
            <v>1361699657.79</v>
          </cell>
          <cell r="C60">
            <v>4.7</v>
          </cell>
          <cell r="D60">
            <v>4.7</v>
          </cell>
        </row>
        <row r="61">
          <cell r="A61" t="str">
            <v>Marketing Loans</v>
          </cell>
          <cell r="B61">
            <v>0</v>
          </cell>
          <cell r="C61">
            <v>4.7</v>
          </cell>
          <cell r="D61">
            <v>4.7</v>
          </cell>
        </row>
        <row r="62">
          <cell r="A62" t="str">
            <v>Medium Term Loans</v>
          </cell>
          <cell r="B62">
            <v>1646243114.9499998</v>
          </cell>
          <cell r="C62">
            <v>4.7</v>
          </cell>
          <cell r="D62">
            <v>4.7</v>
          </cell>
        </row>
        <row r="63">
          <cell r="A63" t="str">
            <v>Overdrafts</v>
          </cell>
          <cell r="B63">
            <v>6740444644.4099998</v>
          </cell>
          <cell r="C63">
            <v>4.7</v>
          </cell>
          <cell r="D63">
            <v>4.7</v>
          </cell>
        </row>
        <row r="64">
          <cell r="A64" t="str">
            <v>Pawning</v>
          </cell>
          <cell r="B64">
            <v>34036929328</v>
          </cell>
          <cell r="C64">
            <v>4.7</v>
          </cell>
          <cell r="D64">
            <v>4.7</v>
          </cell>
        </row>
        <row r="65">
          <cell r="A65" t="str">
            <v>Reschedule Loans</v>
          </cell>
          <cell r="B65">
            <v>-1329812</v>
          </cell>
          <cell r="C65">
            <v>4.7</v>
          </cell>
          <cell r="D65">
            <v>4.7</v>
          </cell>
        </row>
        <row r="66">
          <cell r="A66" t="str">
            <v>Short Term Loans</v>
          </cell>
          <cell r="B66">
            <v>8566450665.579999</v>
          </cell>
          <cell r="C66">
            <v>4.7</v>
          </cell>
          <cell r="D66">
            <v>4.7</v>
          </cell>
        </row>
        <row r="67">
          <cell r="A67" t="str">
            <v>Staff Housing Loans &amp; Other Loans</v>
          </cell>
          <cell r="B67">
            <v>792776521.20999992</v>
          </cell>
          <cell r="C67">
            <v>4.7</v>
          </cell>
          <cell r="D67">
            <v>4.7</v>
          </cell>
        </row>
        <row r="68">
          <cell r="A68" t="str">
            <v>Syndicated    Loans</v>
          </cell>
          <cell r="B68">
            <v>120393032.56</v>
          </cell>
          <cell r="C68">
            <v>4.7</v>
          </cell>
          <cell r="D68">
            <v>4.7</v>
          </cell>
        </row>
        <row r="69">
          <cell r="A69" t="str">
            <v>University Loans</v>
          </cell>
          <cell r="B69">
            <v>17989980</v>
          </cell>
          <cell r="C69">
            <v>4.7</v>
          </cell>
          <cell r="D69">
            <v>4.7</v>
          </cell>
        </row>
        <row r="70">
          <cell r="A70" t="str">
            <v>Non Performing Loans</v>
          </cell>
          <cell r="B70">
            <v>1038926740.01</v>
          </cell>
          <cell r="C70">
            <v>4.7</v>
          </cell>
          <cell r="D70">
            <v>4.7</v>
          </cell>
        </row>
        <row r="71">
          <cell r="A71" t="str">
            <v>Past Due Loans &amp; Overdrafts</v>
          </cell>
          <cell r="B71">
            <v>0</v>
          </cell>
          <cell r="C71">
            <v>4.7</v>
          </cell>
          <cell r="D71">
            <v>4.7</v>
          </cell>
        </row>
        <row r="72">
          <cell r="A72" t="str">
            <v>Past Due Loans New Method</v>
          </cell>
          <cell r="B72">
            <v>0</v>
          </cell>
          <cell r="C72">
            <v>4.7</v>
          </cell>
          <cell r="D72">
            <v>4.7</v>
          </cell>
        </row>
        <row r="73">
          <cell r="A73" t="str">
            <v>Int.Received Long Term T Bonds</v>
          </cell>
          <cell r="B73">
            <v>46027500</v>
          </cell>
          <cell r="C73">
            <v>4.7</v>
          </cell>
          <cell r="D73">
            <v>4.7</v>
          </cell>
        </row>
        <row r="74">
          <cell r="A74" t="str">
            <v>Int Income  Term money Lending other</v>
          </cell>
          <cell r="B74">
            <v>0</v>
          </cell>
          <cell r="C74">
            <v>4.7</v>
          </cell>
          <cell r="D74">
            <v>4.7</v>
          </cell>
        </row>
        <row r="75">
          <cell r="A75" t="str">
            <v>Interest  Income -repo lending others</v>
          </cell>
          <cell r="B75">
            <v>868604.52</v>
          </cell>
          <cell r="C75">
            <v>4.7</v>
          </cell>
          <cell r="D75">
            <v>4.7</v>
          </cell>
        </row>
        <row r="76">
          <cell r="A76" t="str">
            <v>Int. on SLDB Bonds USD</v>
          </cell>
          <cell r="B76">
            <v>1219973158.3099999</v>
          </cell>
          <cell r="C76">
            <v>4.7</v>
          </cell>
          <cell r="D76">
            <v>4.7</v>
          </cell>
        </row>
        <row r="77">
          <cell r="A77" t="str">
            <v>Int.  on  Restructing Bonds</v>
          </cell>
          <cell r="B77">
            <v>878760000</v>
          </cell>
          <cell r="C77">
            <v>4.7</v>
          </cell>
          <cell r="D77">
            <v>4.7</v>
          </cell>
        </row>
        <row r="78">
          <cell r="A78" t="str">
            <v>Premium amort. SLDB Bonds USD</v>
          </cell>
          <cell r="B78">
            <v>0</v>
          </cell>
          <cell r="C78">
            <v>4.7</v>
          </cell>
          <cell r="D78">
            <v>4.7</v>
          </cell>
        </row>
        <row r="79">
          <cell r="A79" t="str">
            <v>Long Term Loans</v>
          </cell>
          <cell r="B79">
            <v>0</v>
          </cell>
          <cell r="C79">
            <v>4.7</v>
          </cell>
          <cell r="D79">
            <v>4.7</v>
          </cell>
        </row>
        <row r="80">
          <cell r="A80" t="str">
            <v xml:space="preserve">INT  SEC 91 DAYS T/BILL INV WITH CBSL                                        </v>
          </cell>
          <cell r="B80">
            <v>0.11</v>
          </cell>
          <cell r="C80">
            <v>4.8</v>
          </cell>
          <cell r="D80">
            <v>4.8</v>
          </cell>
        </row>
        <row r="81">
          <cell r="A81" t="str">
            <v xml:space="preserve">INT SEC 182 DAYS T/BILL INV WITH CBSL                                        </v>
          </cell>
          <cell r="B81">
            <v>3650800</v>
          </cell>
          <cell r="C81">
            <v>4.8</v>
          </cell>
          <cell r="D81">
            <v>4.8</v>
          </cell>
        </row>
        <row r="82">
          <cell r="A82" t="str">
            <v xml:space="preserve">INT SEC 1 YEAR T/BILL INV WITH CBSL                                        </v>
          </cell>
          <cell r="B82">
            <v>432845457.35000002</v>
          </cell>
          <cell r="C82">
            <v>4.8</v>
          </cell>
          <cell r="D82">
            <v>4.8</v>
          </cell>
        </row>
        <row r="83">
          <cell r="A83" t="str">
            <v xml:space="preserve">INT- INV COMMERCIAL PAPER- TRAD - CUST                                        </v>
          </cell>
          <cell r="B83">
            <v>36359421.359999999</v>
          </cell>
          <cell r="C83">
            <v>4.8</v>
          </cell>
          <cell r="D83">
            <v>4.8</v>
          </cell>
        </row>
        <row r="84">
          <cell r="A84" t="str">
            <v xml:space="preserve">INT-T/BONDS GOSL  TAX INV  WITH CBSL                                        </v>
          </cell>
          <cell r="B84">
            <v>6169577325.5</v>
          </cell>
          <cell r="C84">
            <v>4.8</v>
          </cell>
          <cell r="D84">
            <v>4.8</v>
          </cell>
        </row>
        <row r="85">
          <cell r="A85" t="str">
            <v>Premium amort. T Bonds GOSL Trading</v>
          </cell>
          <cell r="B85">
            <v>-106038557.04000001</v>
          </cell>
          <cell r="C85">
            <v>4.8</v>
          </cell>
          <cell r="D85">
            <v>4.8</v>
          </cell>
        </row>
        <row r="86">
          <cell r="A86" t="str">
            <v>Acceptances</v>
          </cell>
          <cell r="B86">
            <v>129672855.01000001</v>
          </cell>
          <cell r="C86">
            <v>5.0999999999999996</v>
          </cell>
          <cell r="D86">
            <v>5.0999999999999996</v>
          </cell>
        </row>
        <row r="87">
          <cell r="A87" t="str">
            <v>Bills Discounted</v>
          </cell>
          <cell r="B87">
            <v>50763</v>
          </cell>
          <cell r="C87">
            <v>5.0999999999999996</v>
          </cell>
          <cell r="D87">
            <v>5.0999999999999996</v>
          </cell>
        </row>
        <row r="88">
          <cell r="A88" t="str">
            <v>Bills Negotiated/pur(export)</v>
          </cell>
          <cell r="B88">
            <v>39311136.060000002</v>
          </cell>
          <cell r="C88">
            <v>5.0999999999999996</v>
          </cell>
          <cell r="D88">
            <v>5.0999999999999996</v>
          </cell>
        </row>
        <row r="89">
          <cell r="A89" t="str">
            <v>Bills Purchased</v>
          </cell>
          <cell r="B89">
            <v>208231158.32999998</v>
          </cell>
          <cell r="C89">
            <v>5.0999999999999996</v>
          </cell>
          <cell r="D89">
            <v>5.0999999999999996</v>
          </cell>
        </row>
        <row r="90">
          <cell r="A90" t="str">
            <v>Fee Income on ATM Withdrawals</v>
          </cell>
          <cell r="B90">
            <v>134140059.78</v>
          </cell>
          <cell r="C90">
            <v>5.0999999999999996</v>
          </cell>
          <cell r="D90">
            <v>5.0999999999999996</v>
          </cell>
        </row>
        <row r="91">
          <cell r="A91" t="str">
            <v>Com A/c Rebate recved on Trade Finance</v>
          </cell>
          <cell r="B91">
            <v>33817537.829999998</v>
          </cell>
          <cell r="C91">
            <v>5.0999999999999996</v>
          </cell>
          <cell r="D91">
            <v>5.0999999999999996</v>
          </cell>
        </row>
        <row r="92">
          <cell r="A92" t="str">
            <v>Collections</v>
          </cell>
          <cell r="B92">
            <v>37238392.920000002</v>
          </cell>
          <cell r="C92">
            <v>5.0999999999999996</v>
          </cell>
          <cell r="D92">
            <v>5.0999999999999996</v>
          </cell>
        </row>
        <row r="93">
          <cell r="A93" t="str">
            <v>Fee Income Treasury</v>
          </cell>
          <cell r="B93">
            <v>3473805.45</v>
          </cell>
          <cell r="C93">
            <v>5.0999999999999996</v>
          </cell>
          <cell r="D93">
            <v>5.0999999999999996</v>
          </cell>
        </row>
        <row r="94">
          <cell r="A94" t="str">
            <v>Current Account.</v>
          </cell>
          <cell r="B94">
            <v>556275428.69000006</v>
          </cell>
          <cell r="C94">
            <v>5.0999999999999996</v>
          </cell>
          <cell r="D94">
            <v>5.0999999999999996</v>
          </cell>
        </row>
        <row r="95">
          <cell r="A95" t="str">
            <v>Non Current Account.</v>
          </cell>
          <cell r="B95">
            <v>702547985.85000002</v>
          </cell>
          <cell r="C95">
            <v>5.0999999999999996</v>
          </cell>
          <cell r="D95">
            <v>5.0999999999999996</v>
          </cell>
        </row>
        <row r="96">
          <cell r="A96" t="str">
            <v>"E"Channeling</v>
          </cell>
          <cell r="B96">
            <v>64430</v>
          </cell>
          <cell r="C96">
            <v>5.0999999999999996</v>
          </cell>
          <cell r="D96">
            <v>5.0999999999999996</v>
          </cell>
        </row>
        <row r="97">
          <cell r="A97" t="str">
            <v>CEB Commission</v>
          </cell>
          <cell r="B97">
            <v>0</v>
          </cell>
          <cell r="C97">
            <v>5.0999999999999996</v>
          </cell>
          <cell r="D97">
            <v>5.0999999999999996</v>
          </cell>
        </row>
        <row r="98">
          <cell r="A98" t="str">
            <v>Loans Default</v>
          </cell>
          <cell r="B98">
            <v>49166</v>
          </cell>
          <cell r="C98">
            <v>5.0999999999999996</v>
          </cell>
          <cell r="D98">
            <v>5.0999999999999996</v>
          </cell>
        </row>
        <row r="99">
          <cell r="A99" t="str">
            <v xml:space="preserve">Credit Card Operation </v>
          </cell>
          <cell r="B99">
            <v>0</v>
          </cell>
          <cell r="C99">
            <v>5.0999999999999996</v>
          </cell>
          <cell r="D99">
            <v>5.0999999999999996</v>
          </cell>
        </row>
        <row r="100">
          <cell r="A100" t="str">
            <v>Cultivation Loans1</v>
          </cell>
          <cell r="B100">
            <v>2384169</v>
          </cell>
          <cell r="C100">
            <v>5.0999999999999996</v>
          </cell>
          <cell r="D100">
            <v>5.0999999999999996</v>
          </cell>
        </row>
        <row r="101">
          <cell r="A101" t="str">
            <v>Courier Service Charges Recovered</v>
          </cell>
          <cell r="B101">
            <v>4946368.5599999996</v>
          </cell>
          <cell r="C101">
            <v>5.0999999999999996</v>
          </cell>
          <cell r="D101">
            <v>9.5</v>
          </cell>
        </row>
        <row r="102">
          <cell r="A102" t="str">
            <v>Discount Recd. Credit Card</v>
          </cell>
          <cell r="B102">
            <v>30133009.289999999</v>
          </cell>
          <cell r="C102">
            <v>5.0999999999999996</v>
          </cell>
          <cell r="D102">
            <v>5.0999999999999996</v>
          </cell>
        </row>
        <row r="103">
          <cell r="A103" t="str">
            <v>Estate Labour Payments1</v>
          </cell>
          <cell r="B103">
            <v>8281943</v>
          </cell>
          <cell r="C103">
            <v>5.0999999999999996</v>
          </cell>
          <cell r="D103">
            <v>5.0999999999999996</v>
          </cell>
        </row>
        <row r="104">
          <cell r="A104" t="str">
            <v>Charges recoverd stationery</v>
          </cell>
          <cell r="B104">
            <v>0</v>
          </cell>
          <cell r="C104">
            <v>5.0999999999999996</v>
          </cell>
          <cell r="D104">
            <v>9.5</v>
          </cell>
        </row>
        <row r="105">
          <cell r="A105" t="str">
            <v>Fee Income Credit Card</v>
          </cell>
          <cell r="B105">
            <v>189149642.14000005</v>
          </cell>
          <cell r="C105">
            <v>5.0999999999999996</v>
          </cell>
          <cell r="D105">
            <v>5.0999999999999996</v>
          </cell>
        </row>
        <row r="106">
          <cell r="A106" t="str">
            <v>Commission A/C  L/Cs</v>
          </cell>
          <cell r="B106">
            <v>625784012.71999991</v>
          </cell>
          <cell r="C106">
            <v>5.0999999999999996</v>
          </cell>
          <cell r="D106">
            <v>5.0999999999999996</v>
          </cell>
        </row>
        <row r="107">
          <cell r="A107" t="str">
            <v xml:space="preserve">Foreign Bills </v>
          </cell>
          <cell r="B107">
            <v>179904399.47000003</v>
          </cell>
          <cell r="C107">
            <v>5.0999999999999996</v>
          </cell>
          <cell r="D107">
            <v>5.0999999999999996</v>
          </cell>
        </row>
        <row r="108">
          <cell r="A108" t="str">
            <v>Goods Receipts</v>
          </cell>
          <cell r="B108">
            <v>0</v>
          </cell>
          <cell r="C108">
            <v>5.0999999999999996</v>
          </cell>
          <cell r="D108">
            <v>5.0999999999999996</v>
          </cell>
        </row>
        <row r="109">
          <cell r="A109" t="str">
            <v>Guarantees Granted</v>
          </cell>
          <cell r="B109">
            <v>418318370.61000001</v>
          </cell>
          <cell r="C109">
            <v>5.0999999999999996</v>
          </cell>
          <cell r="D109">
            <v>5.0999999999999996</v>
          </cell>
        </row>
        <row r="110">
          <cell r="A110" t="str">
            <v>Insurance recov.from Stores &amp; others</v>
          </cell>
          <cell r="B110">
            <v>0</v>
          </cell>
          <cell r="C110">
            <v>5.0999999999999996</v>
          </cell>
          <cell r="D110">
            <v>9.5</v>
          </cell>
        </row>
        <row r="111">
          <cell r="A111" t="str">
            <v>Legal Charges Recovered</v>
          </cell>
          <cell r="B111">
            <v>162548753.38000003</v>
          </cell>
          <cell r="C111">
            <v>5.0999999999999996</v>
          </cell>
          <cell r="D111">
            <v>9.5</v>
          </cell>
        </row>
        <row r="112">
          <cell r="A112" t="str">
            <v>MICR Chq. Book. char. Recovered</v>
          </cell>
          <cell r="B112">
            <v>210635065.13999999</v>
          </cell>
          <cell r="C112">
            <v>5.0999999999999996</v>
          </cell>
          <cell r="D112">
            <v>9.5</v>
          </cell>
        </row>
        <row r="113">
          <cell r="A113" t="str">
            <v>Remittances</v>
          </cell>
          <cell r="B113">
            <v>133183948.33</v>
          </cell>
          <cell r="C113">
            <v>5.0999999999999996</v>
          </cell>
          <cell r="D113">
            <v>5.0999999999999996</v>
          </cell>
        </row>
        <row r="114">
          <cell r="A114" t="str">
            <v>Stationery charges  Recovered</v>
          </cell>
          <cell r="B114">
            <v>274029440.44</v>
          </cell>
          <cell r="C114">
            <v>5.0999999999999996</v>
          </cell>
          <cell r="D114">
            <v>9.5</v>
          </cell>
        </row>
        <row r="115">
          <cell r="A115" t="str">
            <v>Telegram charges  Recovered</v>
          </cell>
          <cell r="B115">
            <v>71989</v>
          </cell>
          <cell r="C115">
            <v>5.0999999999999996</v>
          </cell>
          <cell r="D115">
            <v>9.5</v>
          </cell>
        </row>
        <row r="116">
          <cell r="A116" t="str">
            <v>Telephone Charges  Recovered</v>
          </cell>
          <cell r="B116">
            <v>62406</v>
          </cell>
          <cell r="C116">
            <v>5.0999999999999996</v>
          </cell>
          <cell r="D116">
            <v>9.5</v>
          </cell>
        </row>
        <row r="117">
          <cell r="A117" t="str">
            <v>Telex Charges Recovered</v>
          </cell>
          <cell r="B117">
            <v>61757527.189999998</v>
          </cell>
          <cell r="C117">
            <v>5.0999999999999996</v>
          </cell>
          <cell r="D117">
            <v>9.5</v>
          </cell>
        </row>
        <row r="118">
          <cell r="A118" t="str">
            <v>Stamp Duty Pawning Advances</v>
          </cell>
          <cell r="B118">
            <v>715857</v>
          </cell>
          <cell r="C118">
            <v>5.0999999999999996</v>
          </cell>
          <cell r="D118">
            <v>9.5</v>
          </cell>
        </row>
        <row r="119">
          <cell r="A119" t="str">
            <v xml:space="preserve">Commission A/C ATM Visa                                        </v>
          </cell>
          <cell r="B119">
            <v>15245260</v>
          </cell>
          <cell r="C119">
            <v>5.0999999999999996</v>
          </cell>
          <cell r="D119">
            <v>5.0999999999999996</v>
          </cell>
        </row>
        <row r="120">
          <cell r="A120" t="str">
            <v xml:space="preserve">Fee Income Insurance Service- PIC                                        </v>
          </cell>
          <cell r="B120">
            <v>131768.48000000001</v>
          </cell>
          <cell r="C120">
            <v>5.0999999999999996</v>
          </cell>
          <cell r="D120">
            <v>5.0999999999999996</v>
          </cell>
        </row>
        <row r="121">
          <cell r="A121" t="str">
            <v>commission received investment banking</v>
          </cell>
          <cell r="B121">
            <v>12636234.310000001</v>
          </cell>
          <cell r="C121">
            <v>5.0999999999999996</v>
          </cell>
          <cell r="D121">
            <v>5.0999999999999996</v>
          </cell>
        </row>
        <row r="122">
          <cell r="A122" t="str">
            <v>Sundries</v>
          </cell>
          <cell r="B122">
            <v>-35344512.369999997</v>
          </cell>
          <cell r="C122">
            <v>5.0999999999999996</v>
          </cell>
          <cell r="D122">
            <v>12.1</v>
          </cell>
        </row>
        <row r="123">
          <cell r="A123" t="str">
            <v>Fees paid to Brokers</v>
          </cell>
          <cell r="B123">
            <v>-21193709</v>
          </cell>
          <cell r="C123">
            <v>5.2</v>
          </cell>
          <cell r="D123">
            <v>5.2</v>
          </cell>
        </row>
        <row r="124">
          <cell r="A124" t="str">
            <v>Guarantee. Fees o/a  Miscellaneous</v>
          </cell>
          <cell r="B124">
            <v>0</v>
          </cell>
          <cell r="C124">
            <v>5.2</v>
          </cell>
          <cell r="D124">
            <v>5.2</v>
          </cell>
        </row>
        <row r="125">
          <cell r="A125" t="str">
            <v>Guarantee. Fees o/a  S.M.I.</v>
          </cell>
          <cell r="B125">
            <v>0</v>
          </cell>
          <cell r="C125">
            <v>5.2</v>
          </cell>
          <cell r="D125">
            <v>5.2</v>
          </cell>
        </row>
        <row r="126">
          <cell r="A126" t="str">
            <v>Guara. Fees  o/a  Cultivation  Loans</v>
          </cell>
          <cell r="B126">
            <v>-8952883.5899999999</v>
          </cell>
          <cell r="C126">
            <v>5.2</v>
          </cell>
          <cell r="D126">
            <v>5.2</v>
          </cell>
        </row>
        <row r="127">
          <cell r="A127" t="str">
            <v>Management Fees Paid to PLC</v>
          </cell>
          <cell r="B127">
            <v>-578484.75</v>
          </cell>
          <cell r="C127">
            <v>5.2</v>
          </cell>
          <cell r="D127">
            <v>5.2</v>
          </cell>
        </row>
        <row r="128">
          <cell r="A128" t="str">
            <v xml:space="preserve">C/A CDS FEES SHARE TRADING                                        </v>
          </cell>
          <cell r="B128">
            <v>-111476.57</v>
          </cell>
          <cell r="C128">
            <v>5.2</v>
          </cell>
          <cell r="D128">
            <v>5.2</v>
          </cell>
        </row>
        <row r="129">
          <cell r="A129" t="str">
            <v xml:space="preserve">C/A FEES PAID SHARE TRADING                                        </v>
          </cell>
          <cell r="B129">
            <v>-1561657.26</v>
          </cell>
          <cell r="C129">
            <v>5.2</v>
          </cell>
          <cell r="D129">
            <v>5.2</v>
          </cell>
        </row>
        <row r="130">
          <cell r="A130" t="str">
            <v xml:space="preserve">C/A BROKERAGE PAID SHARE TRADING                                        </v>
          </cell>
          <cell r="B130">
            <v>-2081223.47</v>
          </cell>
          <cell r="C130">
            <v>5.2</v>
          </cell>
          <cell r="D130">
            <v>5.2</v>
          </cell>
        </row>
        <row r="131">
          <cell r="A131" t="str">
            <v>Charges A/C-Money Market Borrowing Fees</v>
          </cell>
          <cell r="B131">
            <v>-109884147.92</v>
          </cell>
          <cell r="C131">
            <v>5.2</v>
          </cell>
          <cell r="D131">
            <v>5.2</v>
          </cell>
        </row>
        <row r="132">
          <cell r="A132" t="str">
            <v>Bills</v>
          </cell>
          <cell r="B132">
            <v>0</v>
          </cell>
          <cell r="C132">
            <v>6.1</v>
          </cell>
          <cell r="D132">
            <v>6.1</v>
          </cell>
        </row>
        <row r="133">
          <cell r="A133" t="str">
            <v>Difference in Exchange</v>
          </cell>
          <cell r="B133">
            <v>1997483773.4849999</v>
          </cell>
          <cell r="C133">
            <v>6.1</v>
          </cell>
          <cell r="D133">
            <v>6.1</v>
          </cell>
        </row>
        <row r="134">
          <cell r="A134" t="str">
            <v xml:space="preserve">RE GAIN/LOSS ON FOREX FORWARD POSITIONS                                        </v>
          </cell>
          <cell r="B134">
            <v>1075889.93</v>
          </cell>
          <cell r="C134">
            <v>6.1</v>
          </cell>
          <cell r="D134">
            <v>6.1</v>
          </cell>
        </row>
        <row r="135">
          <cell r="A135" t="str">
            <v>Repatriation of Currencies1</v>
          </cell>
          <cell r="B135">
            <v>124340110.96000001</v>
          </cell>
          <cell r="C135">
            <v>6.1</v>
          </cell>
          <cell r="D135">
            <v>6.1</v>
          </cell>
        </row>
        <row r="136">
          <cell r="A136" t="str">
            <v>Exchange  Account Western Union</v>
          </cell>
          <cell r="B136">
            <v>4285026.2</v>
          </cell>
          <cell r="C136">
            <v>6.1</v>
          </cell>
          <cell r="D136">
            <v>6.1</v>
          </cell>
        </row>
        <row r="137">
          <cell r="A137" t="str">
            <v>Dividend Rece. - Share trading</v>
          </cell>
          <cell r="B137">
            <v>13284641.640000001</v>
          </cell>
          <cell r="C137">
            <v>6.3</v>
          </cell>
          <cell r="D137">
            <v>6.3</v>
          </cell>
        </row>
        <row r="138">
          <cell r="A138" t="str">
            <v>Profit on sale/rea. of Investments</v>
          </cell>
          <cell r="B138">
            <v>0</v>
          </cell>
          <cell r="C138">
            <v>6.3</v>
          </cell>
          <cell r="D138">
            <v>6.3</v>
          </cell>
        </row>
        <row r="139">
          <cell r="A139" t="str">
            <v>Gain/Loss Share Trading</v>
          </cell>
          <cell r="B139">
            <v>0</v>
          </cell>
          <cell r="C139">
            <v>6.3</v>
          </cell>
          <cell r="D139">
            <v>6.3</v>
          </cell>
        </row>
        <row r="140">
          <cell r="A140" t="str">
            <v>Pro. Dimunition in value of Shares</v>
          </cell>
          <cell r="B140">
            <v>-89018091.900000006</v>
          </cell>
          <cell r="C140">
            <v>6.3</v>
          </cell>
          <cell r="D140">
            <v>6.3</v>
          </cell>
        </row>
        <row r="141">
          <cell r="A141" t="str">
            <v>Capital Gain T Bills/Bonds</v>
          </cell>
          <cell r="B141">
            <v>127794899.44</v>
          </cell>
          <cell r="C141">
            <v>6.4</v>
          </cell>
          <cell r="D141">
            <v>6.4</v>
          </cell>
        </row>
        <row r="142">
          <cell r="A142" t="str">
            <v>Profit on sale sec.inv.91.day t, bills=tra</v>
          </cell>
          <cell r="B142">
            <v>0</v>
          </cell>
          <cell r="C142">
            <v>6.4</v>
          </cell>
          <cell r="D142">
            <v>6.4</v>
          </cell>
        </row>
        <row r="143">
          <cell r="A143" t="str">
            <v>Profit on sale sec.inv182.day t, bills=tra</v>
          </cell>
          <cell r="B143">
            <v>0</v>
          </cell>
          <cell r="C143">
            <v>6.4</v>
          </cell>
          <cell r="D143">
            <v>6.4</v>
          </cell>
        </row>
        <row r="144">
          <cell r="A144" t="str">
            <v>Profit on sale sec.inv.-1 year t,bill-tr</v>
          </cell>
          <cell r="B144">
            <v>0</v>
          </cell>
          <cell r="C144">
            <v>6.4</v>
          </cell>
          <cell r="D144">
            <v>6.4</v>
          </cell>
        </row>
        <row r="145">
          <cell r="A145" t="str">
            <v>Profit on sale -t bonds GOSL  Taxable -Trade</v>
          </cell>
          <cell r="B145">
            <v>0</v>
          </cell>
          <cell r="C145">
            <v>6.4</v>
          </cell>
          <cell r="D145">
            <v>6.4</v>
          </cell>
        </row>
        <row r="146">
          <cell r="A146" t="str">
            <v>Revaluation Loss of Treasury bills</v>
          </cell>
          <cell r="B146">
            <v>71972831.549999997</v>
          </cell>
          <cell r="C146">
            <v>6.4</v>
          </cell>
          <cell r="D146">
            <v>6.4</v>
          </cell>
        </row>
        <row r="147">
          <cell r="A147" t="str">
            <v>Revaluation Loss of Treasury bonds</v>
          </cell>
          <cell r="B147">
            <v>-177580361.02000001</v>
          </cell>
          <cell r="C147">
            <v>6.4</v>
          </cell>
          <cell r="D147">
            <v>6.4</v>
          </cell>
        </row>
        <row r="148">
          <cell r="A148" t="str">
            <v>Profit from Sale of Bank   Assets</v>
          </cell>
          <cell r="B148">
            <v>22565968.550000001</v>
          </cell>
          <cell r="C148">
            <v>9.1999999999999993</v>
          </cell>
          <cell r="D148">
            <v>9.1999999999999993</v>
          </cell>
        </row>
        <row r="149">
          <cell r="A149" t="str">
            <v>Capital  Grants</v>
          </cell>
          <cell r="B149">
            <v>16100000</v>
          </cell>
          <cell r="C149">
            <v>9.3000000000000007</v>
          </cell>
          <cell r="D149">
            <v>9.5</v>
          </cell>
        </row>
        <row r="150">
          <cell r="A150" t="str">
            <v>Amt. Recd. Bad &amp; Doubtful Debts</v>
          </cell>
          <cell r="B150">
            <v>89059694.399999946</v>
          </cell>
          <cell r="C150">
            <v>9.4</v>
          </cell>
          <cell r="D150">
            <v>9.4</v>
          </cell>
        </row>
        <row r="151">
          <cell r="A151" t="str">
            <v>Profit on sale sec.inv.USD SLD bonds</v>
          </cell>
          <cell r="B151">
            <v>45978834.460000001</v>
          </cell>
          <cell r="C151">
            <v>9.5</v>
          </cell>
          <cell r="D151">
            <v>9.5</v>
          </cell>
        </row>
        <row r="152">
          <cell r="A152" t="str">
            <v>Dividend Received - Investments</v>
          </cell>
          <cell r="B152">
            <v>1640353826.95</v>
          </cell>
          <cell r="C152">
            <v>9.5</v>
          </cell>
          <cell r="D152">
            <v>9.5</v>
          </cell>
        </row>
        <row r="153">
          <cell r="A153" t="str">
            <v>Compensation Recovered</v>
          </cell>
          <cell r="B153">
            <v>6923071.6200000001</v>
          </cell>
          <cell r="C153">
            <v>9.5</v>
          </cell>
          <cell r="D153">
            <v>9.5</v>
          </cell>
        </row>
        <row r="154">
          <cell r="A154" t="str">
            <v>Inco. Rec. From Holiday Resort</v>
          </cell>
          <cell r="B154">
            <v>6595258.0700000003</v>
          </cell>
          <cell r="C154">
            <v>9.5</v>
          </cell>
          <cell r="D154">
            <v>9.5</v>
          </cell>
        </row>
        <row r="155">
          <cell r="A155" t="str">
            <v>Medical Contribution</v>
          </cell>
          <cell r="B155">
            <v>2210565</v>
          </cell>
          <cell r="C155">
            <v>9.5</v>
          </cell>
          <cell r="D155">
            <v>9.5</v>
          </cell>
        </row>
        <row r="156">
          <cell r="A156" t="str">
            <v>Medical Contr.for    -   Pensioner</v>
          </cell>
          <cell r="B156">
            <v>1848532</v>
          </cell>
          <cell r="C156">
            <v>9.5</v>
          </cell>
          <cell r="D156">
            <v>9.5</v>
          </cell>
        </row>
        <row r="157">
          <cell r="A157" t="str">
            <v>Postage Recovered</v>
          </cell>
          <cell r="B157">
            <v>94827670.170000002</v>
          </cell>
          <cell r="C157">
            <v>9.5</v>
          </cell>
          <cell r="D157">
            <v>9.5</v>
          </cell>
        </row>
        <row r="158">
          <cell r="A158" t="str">
            <v>Miscellaneous Income Items</v>
          </cell>
          <cell r="B158">
            <v>7914995.6499999994</v>
          </cell>
          <cell r="C158">
            <v>9.5</v>
          </cell>
          <cell r="D158">
            <v>9.5</v>
          </cell>
        </row>
        <row r="159">
          <cell r="A159" t="str">
            <v>Proceeds of Sales Publication</v>
          </cell>
          <cell r="B159">
            <v>0</v>
          </cell>
          <cell r="C159">
            <v>9.5</v>
          </cell>
          <cell r="D159">
            <v>9.5</v>
          </cell>
        </row>
        <row r="160">
          <cell r="A160" t="str">
            <v>Rent Received from Stores</v>
          </cell>
          <cell r="B160">
            <v>0</v>
          </cell>
          <cell r="C160">
            <v>9.5</v>
          </cell>
          <cell r="D160">
            <v>9.5</v>
          </cell>
        </row>
        <row r="161">
          <cell r="A161" t="str">
            <v>Rent Recovered</v>
          </cell>
          <cell r="B161">
            <v>20983972</v>
          </cell>
          <cell r="C161">
            <v>9.5</v>
          </cell>
          <cell r="D161">
            <v>9.5</v>
          </cell>
        </row>
        <row r="162">
          <cell r="A162" t="str">
            <v>Correspondent bankers</v>
          </cell>
          <cell r="B162">
            <v>15000000</v>
          </cell>
          <cell r="C162">
            <v>9.5</v>
          </cell>
          <cell r="D162">
            <v>9.5</v>
          </cell>
        </row>
        <row r="163">
          <cell r="A163" t="str">
            <v>Rent Rec. on Safe Deposit Lockers</v>
          </cell>
          <cell r="B163">
            <v>9814455</v>
          </cell>
          <cell r="C163">
            <v>9.5</v>
          </cell>
          <cell r="D163">
            <v>9.5</v>
          </cell>
        </row>
        <row r="164">
          <cell r="A164" t="str">
            <v>LLP Revers. In Respect of NP Recoveries</v>
          </cell>
          <cell r="B164">
            <v>1225925463.5100002</v>
          </cell>
          <cell r="C164">
            <v>9.5</v>
          </cell>
          <cell r="D164">
            <v>9.5</v>
          </cell>
        </row>
        <row r="165">
          <cell r="A165" t="str">
            <v>Staff    Bonus</v>
          </cell>
          <cell r="B165">
            <v>-1145486494.5900002</v>
          </cell>
          <cell r="C165">
            <v>11.1</v>
          </cell>
          <cell r="D165">
            <v>11.1</v>
          </cell>
        </row>
        <row r="166">
          <cell r="A166" t="str">
            <v>Salaries (Exc.Retire.Benefits)</v>
          </cell>
          <cell r="B166">
            <v>-6746740567.749999</v>
          </cell>
          <cell r="C166">
            <v>11.1</v>
          </cell>
          <cell r="D166">
            <v>11.1</v>
          </cell>
        </row>
        <row r="167">
          <cell r="A167" t="str">
            <v>Remunerations Employees on</v>
          </cell>
          <cell r="B167">
            <v>-46244525.769999996</v>
          </cell>
          <cell r="C167">
            <v>11.1</v>
          </cell>
          <cell r="D167">
            <v>11.1</v>
          </cell>
        </row>
        <row r="168">
          <cell r="A168" t="str">
            <v>Pro. for Staff Ret.Benefit-Pension</v>
          </cell>
          <cell r="B168">
            <v>-1260337301.05</v>
          </cell>
          <cell r="C168">
            <v>11.2</v>
          </cell>
          <cell r="D168">
            <v>11.2</v>
          </cell>
        </row>
        <row r="169">
          <cell r="A169" t="str">
            <v xml:space="preserve"> Prov.for.Staff Reti.Bft.Pension after 1996</v>
          </cell>
          <cell r="B169">
            <v>-304548712</v>
          </cell>
          <cell r="C169">
            <v>11.2</v>
          </cell>
          <cell r="D169">
            <v>11.2</v>
          </cell>
        </row>
        <row r="170">
          <cell r="A170" t="str">
            <v>Pro. for Staff Ret.Benefit-W&amp;OP</v>
          </cell>
          <cell r="B170">
            <v>-35860000</v>
          </cell>
          <cell r="C170">
            <v>11.2</v>
          </cell>
          <cell r="D170">
            <v>11.2</v>
          </cell>
        </row>
        <row r="171">
          <cell r="A171" t="str">
            <v>Death Gratuity</v>
          </cell>
          <cell r="B171">
            <v>-9970138.5</v>
          </cell>
          <cell r="C171">
            <v>11.4</v>
          </cell>
          <cell r="D171">
            <v>11.4</v>
          </cell>
        </row>
        <row r="172">
          <cell r="A172" t="str">
            <v>Employees Accident  Benefit Scheme</v>
          </cell>
          <cell r="B172">
            <v>-570585.42000000004</v>
          </cell>
          <cell r="C172">
            <v>11.4</v>
          </cell>
          <cell r="D172">
            <v>11.4</v>
          </cell>
        </row>
        <row r="173">
          <cell r="A173" t="str">
            <v>Encash. of Casual Leave(Inc. pay.)</v>
          </cell>
          <cell r="B173">
            <v>-153803113.91000003</v>
          </cell>
          <cell r="C173">
            <v>11.4</v>
          </cell>
          <cell r="D173">
            <v>11.4</v>
          </cell>
        </row>
        <row r="174">
          <cell r="A174" t="str">
            <v>Encash. of Medical Leave(Inc. pay.)</v>
          </cell>
          <cell r="B174">
            <v>-116777790.77000001</v>
          </cell>
          <cell r="C174">
            <v>11.4</v>
          </cell>
          <cell r="D174">
            <v>11.4</v>
          </cell>
        </row>
        <row r="175">
          <cell r="A175" t="str">
            <v>Encash. of Privilege Leave</v>
          </cell>
          <cell r="B175">
            <v>0</v>
          </cell>
          <cell r="C175">
            <v>11.4</v>
          </cell>
          <cell r="D175">
            <v>11.4</v>
          </cell>
        </row>
        <row r="176">
          <cell r="A176" t="str">
            <v>Gratuity Paidy New Act.</v>
          </cell>
          <cell r="B176">
            <v>-19166935.689999998</v>
          </cell>
          <cell r="C176">
            <v>11.4</v>
          </cell>
          <cell r="D176">
            <v>11.4</v>
          </cell>
        </row>
        <row r="177">
          <cell r="A177" t="str">
            <v>Gratuity Paid New Act.- Non pensionable</v>
          </cell>
          <cell r="B177">
            <v>-100000000</v>
          </cell>
          <cell r="C177">
            <v>11.4</v>
          </cell>
          <cell r="D177">
            <v>11.4</v>
          </cell>
        </row>
        <row r="178">
          <cell r="A178" t="str">
            <v>Medical Expenses</v>
          </cell>
          <cell r="B178">
            <v>-556494841</v>
          </cell>
          <cell r="C178">
            <v>11.4</v>
          </cell>
          <cell r="D178">
            <v>11.4</v>
          </cell>
        </row>
        <row r="179">
          <cell r="A179" t="str">
            <v>Medical Expenses for Pensioners</v>
          </cell>
          <cell r="B179">
            <v>-406376696.42000002</v>
          </cell>
          <cell r="C179">
            <v>11.4</v>
          </cell>
          <cell r="D179">
            <v>11.4</v>
          </cell>
        </row>
        <row r="180">
          <cell r="A180" t="str">
            <v>Out of Pocket Allowance</v>
          </cell>
          <cell r="B180">
            <v>-348673321.64999998</v>
          </cell>
          <cell r="C180">
            <v>11.4</v>
          </cell>
          <cell r="D180">
            <v>11.4</v>
          </cell>
        </row>
        <row r="181">
          <cell r="A181" t="str">
            <v>ZAGM/RMM/ARMM  Allowance</v>
          </cell>
          <cell r="B181">
            <v>-16579002.66</v>
          </cell>
          <cell r="C181">
            <v>11.4</v>
          </cell>
          <cell r="D181">
            <v>11.4</v>
          </cell>
        </row>
        <row r="182">
          <cell r="A182" t="str">
            <v>Overtime Payments</v>
          </cell>
          <cell r="B182">
            <v>-416688080.19999999</v>
          </cell>
          <cell r="C182">
            <v>11.4</v>
          </cell>
          <cell r="D182">
            <v>11.4</v>
          </cell>
        </row>
        <row r="183">
          <cell r="A183" t="str">
            <v xml:space="preserve">Payee Tax </v>
          </cell>
          <cell r="B183">
            <v>-372692329.77999997</v>
          </cell>
          <cell r="C183">
            <v>11.4</v>
          </cell>
          <cell r="D183">
            <v>11.4</v>
          </cell>
        </row>
        <row r="184">
          <cell r="A184" t="str">
            <v>Special Allowances</v>
          </cell>
          <cell r="B184">
            <v>-182376311.76999998</v>
          </cell>
          <cell r="C184">
            <v>11.4</v>
          </cell>
          <cell r="D184">
            <v>11.4</v>
          </cell>
        </row>
        <row r="185">
          <cell r="A185" t="str">
            <v>Ex. Gratia Paym. To staff - Dec 1996</v>
          </cell>
          <cell r="B185">
            <v>0</v>
          </cell>
          <cell r="C185">
            <v>11.4</v>
          </cell>
          <cell r="D185">
            <v>11.4</v>
          </cell>
        </row>
        <row r="186">
          <cell r="A186" t="str">
            <v>Staff Incentive (Half Month)</v>
          </cell>
          <cell r="B186">
            <v>-719401751.23000002</v>
          </cell>
          <cell r="C186">
            <v>11.4</v>
          </cell>
          <cell r="D186">
            <v>11.4</v>
          </cell>
        </row>
        <row r="187">
          <cell r="A187" t="str">
            <v xml:space="preserve">VAT on Staff Cost </v>
          </cell>
          <cell r="B187">
            <v>0</v>
          </cell>
          <cell r="C187">
            <v>11.4</v>
          </cell>
          <cell r="D187">
            <v>11.4</v>
          </cell>
        </row>
        <row r="188">
          <cell r="A188" t="str">
            <v>Special Bonus</v>
          </cell>
          <cell r="B188">
            <v>-741500</v>
          </cell>
          <cell r="C188">
            <v>11.4</v>
          </cell>
          <cell r="D188">
            <v>11.4</v>
          </cell>
        </row>
        <row r="189">
          <cell r="A189" t="str">
            <v>Staff Welfare</v>
          </cell>
          <cell r="B189">
            <v>-58810764.739999995</v>
          </cell>
          <cell r="C189">
            <v>11.4</v>
          </cell>
          <cell r="D189">
            <v>11.4</v>
          </cell>
        </row>
        <row r="190">
          <cell r="A190" t="str">
            <v>Staff Transport Allowance</v>
          </cell>
          <cell r="B190">
            <v>-6627026.1299999999</v>
          </cell>
          <cell r="C190">
            <v>11.4</v>
          </cell>
          <cell r="D190">
            <v>11.4</v>
          </cell>
        </row>
        <row r="191">
          <cell r="A191" t="str">
            <v>Contribution to medical fund</v>
          </cell>
          <cell r="B191">
            <v>-180000000</v>
          </cell>
          <cell r="C191">
            <v>11.4</v>
          </cell>
          <cell r="D191">
            <v>11.4</v>
          </cell>
        </row>
        <row r="192">
          <cell r="A192" t="str">
            <v>Directors' Fees</v>
          </cell>
          <cell r="B192">
            <v>-3900000</v>
          </cell>
          <cell r="C192">
            <v>12.01</v>
          </cell>
          <cell r="D192">
            <v>12.01</v>
          </cell>
        </row>
        <row r="193">
          <cell r="A193" t="str">
            <v>Director's  Subsistence  &amp;  Lodging</v>
          </cell>
          <cell r="B193">
            <v>0</v>
          </cell>
          <cell r="C193">
            <v>12.01</v>
          </cell>
          <cell r="D193">
            <v>12.01</v>
          </cell>
        </row>
        <row r="194">
          <cell r="A194" t="str">
            <v>Director's  Travelling</v>
          </cell>
          <cell r="B194">
            <v>0</v>
          </cell>
          <cell r="C194">
            <v>12.01</v>
          </cell>
          <cell r="D194">
            <v>12.01</v>
          </cell>
        </row>
        <row r="195">
          <cell r="A195" t="str">
            <v>Provision for Deminution Value of Invest.</v>
          </cell>
          <cell r="B195">
            <v>127818.38</v>
          </cell>
          <cell r="C195">
            <v>12.1</v>
          </cell>
          <cell r="D195">
            <v>12.1</v>
          </cell>
        </row>
        <row r="196">
          <cell r="A196" t="str">
            <v>Claim Hon.o/a Extend Dep.Gur.Sch.</v>
          </cell>
          <cell r="B196">
            <v>-1540</v>
          </cell>
          <cell r="C196">
            <v>12.1</v>
          </cell>
          <cell r="D196">
            <v>12.1</v>
          </cell>
        </row>
        <row r="197">
          <cell r="A197" t="str">
            <v>Compensation Paid</v>
          </cell>
          <cell r="B197">
            <v>-661132.78</v>
          </cell>
          <cell r="C197">
            <v>12.1</v>
          </cell>
          <cell r="D197">
            <v>12.1</v>
          </cell>
        </row>
        <row r="198">
          <cell r="A198" t="str">
            <v>Co-operative Development</v>
          </cell>
          <cell r="B198">
            <v>-2000000</v>
          </cell>
          <cell r="C198">
            <v>12.1</v>
          </cell>
          <cell r="D198">
            <v>12.1</v>
          </cell>
        </row>
        <row r="199">
          <cell r="A199" t="str">
            <v>Cultivation Loan Expenses</v>
          </cell>
          <cell r="B199">
            <v>0</v>
          </cell>
          <cell r="C199">
            <v>12.1</v>
          </cell>
          <cell r="D199">
            <v>12.1</v>
          </cell>
        </row>
        <row r="200">
          <cell r="A200" t="str">
            <v xml:space="preserve"> Miscellaneous Items write off</v>
          </cell>
          <cell r="B200">
            <v>0</v>
          </cell>
          <cell r="C200">
            <v>12.1</v>
          </cell>
          <cell r="D200">
            <v>12.1</v>
          </cell>
        </row>
        <row r="201">
          <cell r="A201" t="str">
            <v>Land Redemption  Compe.Tribunal</v>
          </cell>
          <cell r="B201">
            <v>-144233</v>
          </cell>
          <cell r="C201">
            <v>12.1</v>
          </cell>
          <cell r="D201">
            <v>12.1</v>
          </cell>
        </row>
        <row r="202">
          <cell r="A202" t="str">
            <v>Messengers Uniforms</v>
          </cell>
          <cell r="B202">
            <v>-3742359.0900000003</v>
          </cell>
          <cell r="C202">
            <v>12.1</v>
          </cell>
          <cell r="D202">
            <v>12.1</v>
          </cell>
        </row>
        <row r="203">
          <cell r="A203" t="str">
            <v>Charges a/c-incentive pay on recon NPL</v>
          </cell>
          <cell r="B203">
            <v>-6075000</v>
          </cell>
          <cell r="C203">
            <v>12.1</v>
          </cell>
          <cell r="D203">
            <v>12.1</v>
          </cell>
        </row>
        <row r="204">
          <cell r="A204" t="str">
            <v>Transport</v>
          </cell>
          <cell r="B204">
            <v>-46891404.899999999</v>
          </cell>
          <cell r="C204">
            <v>12.1</v>
          </cell>
          <cell r="D204">
            <v>12.1</v>
          </cell>
        </row>
        <row r="205">
          <cell r="A205" t="str">
            <v>Water Supply</v>
          </cell>
          <cell r="B205">
            <v>-39641379.229999997</v>
          </cell>
          <cell r="C205">
            <v>12.1</v>
          </cell>
          <cell r="D205">
            <v>12.1</v>
          </cell>
        </row>
        <row r="206">
          <cell r="A206" t="str">
            <v>Corp Social Responsibilities</v>
          </cell>
          <cell r="B206">
            <v>-600000</v>
          </cell>
          <cell r="C206">
            <v>12.1</v>
          </cell>
          <cell r="D206">
            <v>12.1</v>
          </cell>
        </row>
        <row r="207">
          <cell r="A207" t="str">
            <v>Expenses Related to Tsunami payment</v>
          </cell>
          <cell r="B207">
            <v>0</v>
          </cell>
          <cell r="C207">
            <v>12.1</v>
          </cell>
          <cell r="D207">
            <v>12.1</v>
          </cell>
        </row>
        <row r="208">
          <cell r="A208" t="str">
            <v>Repatriation of Currencies</v>
          </cell>
          <cell r="B208">
            <v>-5560998.8899999997</v>
          </cell>
          <cell r="C208">
            <v>12.1</v>
          </cell>
          <cell r="D208">
            <v>12.1</v>
          </cell>
        </row>
        <row r="209">
          <cell r="A209" t="str">
            <v>Small Project visits Incid. Expenses</v>
          </cell>
          <cell r="B209">
            <v>0</v>
          </cell>
          <cell r="C209">
            <v>12.1</v>
          </cell>
          <cell r="D209">
            <v>12.1</v>
          </cell>
        </row>
        <row r="210">
          <cell r="A210" t="str">
            <v>Special Cone. - Deceased  Pawners</v>
          </cell>
          <cell r="B210">
            <v>-3722561.57</v>
          </cell>
          <cell r="C210">
            <v>12.1</v>
          </cell>
          <cell r="D210">
            <v>12.1</v>
          </cell>
        </row>
        <row r="211">
          <cell r="A211" t="str">
            <v>Small Scale  Enterprises Promotions</v>
          </cell>
          <cell r="B211">
            <v>0</v>
          </cell>
          <cell r="C211">
            <v>12.1</v>
          </cell>
          <cell r="D211">
            <v>12.1</v>
          </cell>
        </row>
        <row r="212">
          <cell r="A212" t="str">
            <v>Stamp Duty o/a - Refinance/Documents</v>
          </cell>
          <cell r="B212">
            <v>-7905977.5</v>
          </cell>
          <cell r="C212">
            <v>12.1</v>
          </cell>
          <cell r="D212">
            <v>12.1</v>
          </cell>
        </row>
        <row r="213">
          <cell r="A213" t="str">
            <v>Stam.Duty o/a - Pawning  Advances</v>
          </cell>
          <cell r="B213">
            <v>0</v>
          </cell>
          <cell r="C213">
            <v>12.1</v>
          </cell>
          <cell r="D213">
            <v>12.1</v>
          </cell>
        </row>
        <row r="214">
          <cell r="A214" t="str">
            <v>Professional seminars and confer.</v>
          </cell>
          <cell r="B214">
            <v>0</v>
          </cell>
          <cell r="C214">
            <v>12.1</v>
          </cell>
          <cell r="D214">
            <v>12.1</v>
          </cell>
        </row>
        <row r="215">
          <cell r="A215" t="str">
            <v>Incentive Payment on Recovery</v>
          </cell>
          <cell r="B215">
            <v>-6441025.8399999999</v>
          </cell>
          <cell r="C215">
            <v>12.1</v>
          </cell>
          <cell r="D215">
            <v>12.1</v>
          </cell>
        </row>
        <row r="216">
          <cell r="A216" t="str">
            <v>Social Responsibility Levy</v>
          </cell>
          <cell r="B216">
            <v>0</v>
          </cell>
          <cell r="C216">
            <v>12.1</v>
          </cell>
          <cell r="D216">
            <v>12.1</v>
          </cell>
        </row>
        <row r="217">
          <cell r="A217" t="str">
            <v xml:space="preserve">Vat Paid </v>
          </cell>
          <cell r="B217">
            <v>-214228489.03</v>
          </cell>
          <cell r="C217">
            <v>12.1</v>
          </cell>
          <cell r="D217">
            <v>12.1</v>
          </cell>
        </row>
        <row r="218">
          <cell r="A218" t="str">
            <v>Provision for Operational Risk</v>
          </cell>
          <cell r="B218">
            <v>-242859225.28999999</v>
          </cell>
          <cell r="C218">
            <v>12.1</v>
          </cell>
          <cell r="D218">
            <v>12.1</v>
          </cell>
        </row>
        <row r="219">
          <cell r="A219" t="str">
            <v>Charges A//C Deposit Insurance</v>
          </cell>
          <cell r="B219">
            <v>-552500811.64999998</v>
          </cell>
          <cell r="C219">
            <v>12.1</v>
          </cell>
          <cell r="D219">
            <v>12.1</v>
          </cell>
        </row>
        <row r="220">
          <cell r="A220" t="str">
            <v xml:space="preserve">Charges A/C. - Insurance NRFC A/C                                        </v>
          </cell>
          <cell r="B220">
            <v>-2084665.91</v>
          </cell>
          <cell r="C220">
            <v>12.1</v>
          </cell>
          <cell r="D220">
            <v>12.1</v>
          </cell>
        </row>
        <row r="221">
          <cell r="A221" t="str">
            <v xml:space="preserve">C/A PENALTIES TO THE CBSL                                        </v>
          </cell>
          <cell r="B221">
            <v>-109800</v>
          </cell>
          <cell r="C221">
            <v>12.1</v>
          </cell>
          <cell r="D221">
            <v>12.1</v>
          </cell>
        </row>
        <row r="222">
          <cell r="A222" t="str">
            <v>Audit Fees</v>
          </cell>
          <cell r="B222">
            <v>-7674559</v>
          </cell>
          <cell r="C222">
            <v>12.2</v>
          </cell>
          <cell r="D222">
            <v>12.2</v>
          </cell>
        </row>
        <row r="223">
          <cell r="A223" t="str">
            <v>Advisory  Consult. &amp;  Inquiry Fees</v>
          </cell>
          <cell r="B223">
            <v>-15446484.929999998</v>
          </cell>
          <cell r="C223">
            <v>12.4</v>
          </cell>
          <cell r="D223">
            <v>12.4</v>
          </cell>
        </row>
        <row r="224">
          <cell r="A224" t="str">
            <v xml:space="preserve">Annual Mem. Subsc. to Pro. Bodies </v>
          </cell>
          <cell r="B224">
            <v>-23773694.25</v>
          </cell>
          <cell r="C224">
            <v>12.4</v>
          </cell>
          <cell r="D224">
            <v>12.4</v>
          </cell>
        </row>
        <row r="225">
          <cell r="A225" t="str">
            <v>Legal Expenses</v>
          </cell>
          <cell r="B225">
            <v>-28570091.640000001</v>
          </cell>
          <cell r="C225">
            <v>12.4</v>
          </cell>
          <cell r="D225">
            <v>12.4</v>
          </cell>
        </row>
        <row r="226">
          <cell r="A226" t="str">
            <v>Depreciation of Premises</v>
          </cell>
          <cell r="B226">
            <v>0</v>
          </cell>
          <cell r="C226">
            <v>12.5</v>
          </cell>
          <cell r="D226">
            <v>12.5</v>
          </cell>
        </row>
        <row r="227">
          <cell r="A227" t="str">
            <v>Depriciation Machinary</v>
          </cell>
          <cell r="B227">
            <v>-73762185.950000003</v>
          </cell>
          <cell r="C227">
            <v>12.5</v>
          </cell>
          <cell r="D227">
            <v>12.5</v>
          </cell>
        </row>
        <row r="228">
          <cell r="A228" t="str">
            <v>Depriciation Equipment</v>
          </cell>
          <cell r="B228">
            <v>-33374317.859999996</v>
          </cell>
          <cell r="C228">
            <v>12.5</v>
          </cell>
          <cell r="D228">
            <v>12.5</v>
          </cell>
        </row>
        <row r="229">
          <cell r="A229" t="str">
            <v>Depriciation Furniture</v>
          </cell>
          <cell r="B229">
            <v>-20734264.240000002</v>
          </cell>
          <cell r="C229">
            <v>12.5</v>
          </cell>
          <cell r="D229">
            <v>12.5</v>
          </cell>
        </row>
        <row r="230">
          <cell r="A230" t="str">
            <v>Depriciation Motor Vehicals</v>
          </cell>
          <cell r="B230">
            <v>-76000988.260000005</v>
          </cell>
          <cell r="C230">
            <v>12.5</v>
          </cell>
          <cell r="D230">
            <v>12.5</v>
          </cell>
        </row>
        <row r="231">
          <cell r="A231" t="str">
            <v>Depriciation Leasehold Motor Vehicals</v>
          </cell>
          <cell r="B231">
            <v>0</v>
          </cell>
          <cell r="C231">
            <v>12.5</v>
          </cell>
          <cell r="D231">
            <v>12.5</v>
          </cell>
        </row>
        <row r="232">
          <cell r="A232" t="str">
            <v>Depriciation Computer</v>
          </cell>
          <cell r="B232">
            <v>-168367023.56</v>
          </cell>
          <cell r="C232">
            <v>12.5</v>
          </cell>
          <cell r="D232">
            <v>12.5</v>
          </cell>
        </row>
        <row r="233">
          <cell r="A233" t="str">
            <v>Depreciation of Free Hold Premises</v>
          </cell>
          <cell r="B233">
            <v>-160070480.27000001</v>
          </cell>
          <cell r="C233">
            <v>12.5</v>
          </cell>
          <cell r="D233">
            <v>12.5</v>
          </cell>
        </row>
        <row r="234">
          <cell r="A234" t="str">
            <v>Depreciation of Co - Banking</v>
          </cell>
          <cell r="B234">
            <v>-52029099.600000001</v>
          </cell>
          <cell r="C234">
            <v>12.5</v>
          </cell>
          <cell r="D234">
            <v>12.7</v>
          </cell>
        </row>
        <row r="235">
          <cell r="A235" t="str">
            <v>Depriciation Leasehold Computer</v>
          </cell>
          <cell r="B235">
            <v>0</v>
          </cell>
          <cell r="C235">
            <v>12.6</v>
          </cell>
          <cell r="D235">
            <v>12.5</v>
          </cell>
        </row>
        <row r="236">
          <cell r="A236" t="str">
            <v>Depreciation of Lease Hold Premises</v>
          </cell>
          <cell r="B236">
            <v>-111890442.02000001</v>
          </cell>
          <cell r="C236">
            <v>12.6</v>
          </cell>
          <cell r="D236">
            <v>12.6</v>
          </cell>
        </row>
        <row r="237">
          <cell r="A237" t="str">
            <v>Amotisation of prepayment leases</v>
          </cell>
          <cell r="B237">
            <v>-33358506.98</v>
          </cell>
          <cell r="C237">
            <v>12.6</v>
          </cell>
          <cell r="D237">
            <v>12.7</v>
          </cell>
        </row>
        <row r="238">
          <cell r="A238" t="str">
            <v>Amortisation of corona Recon System</v>
          </cell>
          <cell r="B238">
            <v>0</v>
          </cell>
          <cell r="C238">
            <v>12.7</v>
          </cell>
          <cell r="D238">
            <v>12.7</v>
          </cell>
        </row>
        <row r="239">
          <cell r="A239" t="str">
            <v>Amotisation of Debit Card System</v>
          </cell>
          <cell r="B239">
            <v>-4425574.8499999996</v>
          </cell>
          <cell r="C239">
            <v>12.7</v>
          </cell>
          <cell r="D239">
            <v>12.7</v>
          </cell>
        </row>
        <row r="240">
          <cell r="A240" t="str">
            <v>Expenditure  on computerisation</v>
          </cell>
          <cell r="B240">
            <v>-20882.599999999999</v>
          </cell>
          <cell r="C240">
            <v>12.8</v>
          </cell>
          <cell r="D240">
            <v>12.9</v>
          </cell>
        </row>
        <row r="241">
          <cell r="A241" t="str">
            <v>Sundries1</v>
          </cell>
          <cell r="B241">
            <v>56778704.219999999</v>
          </cell>
          <cell r="C241">
            <v>12.9</v>
          </cell>
          <cell r="D241">
            <v>5.0999999999999996</v>
          </cell>
        </row>
        <row r="242">
          <cell r="A242" t="str">
            <v>Alteration To Premises</v>
          </cell>
          <cell r="B242">
            <v>-115267905.87</v>
          </cell>
          <cell r="C242">
            <v>12.9</v>
          </cell>
          <cell r="D242">
            <v>12.9</v>
          </cell>
        </row>
        <row r="243">
          <cell r="A243" t="str">
            <v>Ceremonial Opening</v>
          </cell>
          <cell r="B243">
            <v>-2729602.2</v>
          </cell>
          <cell r="C243">
            <v>12.9</v>
          </cell>
          <cell r="D243">
            <v>12.9</v>
          </cell>
        </row>
        <row r="244">
          <cell r="A244" t="str">
            <v>Electricity</v>
          </cell>
          <cell r="B244">
            <v>-645788777.04000008</v>
          </cell>
          <cell r="C244">
            <v>12.9</v>
          </cell>
          <cell r="D244">
            <v>12.9</v>
          </cell>
        </row>
        <row r="245">
          <cell r="A245" t="str">
            <v>Estate Labour Payments</v>
          </cell>
          <cell r="B245">
            <v>-70000</v>
          </cell>
          <cell r="C245">
            <v>12.9</v>
          </cell>
          <cell r="D245">
            <v>12.9</v>
          </cell>
        </row>
        <row r="246">
          <cell r="A246" t="str">
            <v>Insurance</v>
          </cell>
          <cell r="B246">
            <v>-209800389.14999998</v>
          </cell>
          <cell r="C246">
            <v>12.9</v>
          </cell>
          <cell r="D246">
            <v>12.9</v>
          </cell>
        </row>
        <row r="247">
          <cell r="A247" t="str">
            <v>Vanita Vasana Insurance</v>
          </cell>
          <cell r="B247">
            <v>0</v>
          </cell>
          <cell r="C247">
            <v>12.9</v>
          </cell>
          <cell r="D247">
            <v>12.9</v>
          </cell>
        </row>
        <row r="248">
          <cell r="A248" t="str">
            <v>Labour services obtained</v>
          </cell>
          <cell r="B248">
            <v>-563294744.17999995</v>
          </cell>
          <cell r="C248">
            <v>12.9</v>
          </cell>
          <cell r="D248">
            <v>12.9</v>
          </cell>
        </row>
        <row r="249">
          <cell r="A249" t="str">
            <v>Lease hold Machi.&amp; Equipment</v>
          </cell>
          <cell r="B249">
            <v>-48842159.059999995</v>
          </cell>
          <cell r="C249">
            <v>12.9</v>
          </cell>
          <cell r="D249">
            <v>12.9</v>
          </cell>
        </row>
        <row r="250">
          <cell r="A250" t="str">
            <v>Adjustment to Fixed assets</v>
          </cell>
          <cell r="B250">
            <v>0</v>
          </cell>
          <cell r="C250">
            <v>12.9</v>
          </cell>
          <cell r="D250">
            <v>12.9</v>
          </cell>
        </row>
        <row r="251">
          <cell r="A251" t="str">
            <v>Maintenance    of    Premises</v>
          </cell>
          <cell r="B251">
            <v>-318954051.86999995</v>
          </cell>
          <cell r="C251">
            <v>12.9</v>
          </cell>
          <cell r="D251">
            <v>12.9</v>
          </cell>
        </row>
        <row r="252">
          <cell r="A252" t="str">
            <v>Mainte.of Computer systems</v>
          </cell>
          <cell r="B252">
            <v>-311012433.81999999</v>
          </cell>
          <cell r="C252">
            <v>12.9</v>
          </cell>
          <cell r="D252">
            <v>12.9</v>
          </cell>
        </row>
        <row r="253">
          <cell r="A253" t="str">
            <v>Main.    of    Fur. Equip. &amp; Ledg.  Mach.</v>
          </cell>
          <cell r="B253">
            <v>-113250712.83</v>
          </cell>
          <cell r="C253">
            <v>12.9</v>
          </cell>
          <cell r="D253">
            <v>12.9</v>
          </cell>
        </row>
        <row r="254">
          <cell r="A254" t="str">
            <v>Motor Vehicles</v>
          </cell>
          <cell r="B254">
            <v>-126649209.75</v>
          </cell>
          <cell r="C254">
            <v>12.9</v>
          </cell>
          <cell r="D254">
            <v>12.9</v>
          </cell>
        </row>
        <row r="255">
          <cell r="A255" t="str">
            <v>Fuel</v>
          </cell>
          <cell r="B255">
            <v>-25870613.169999998</v>
          </cell>
          <cell r="C255">
            <v>12.9</v>
          </cell>
          <cell r="D255">
            <v>12.9</v>
          </cell>
        </row>
        <row r="256">
          <cell r="A256" t="str">
            <v>Operating Leases Vehicles</v>
          </cell>
          <cell r="B256">
            <v>-52921582.659999996</v>
          </cell>
          <cell r="C256">
            <v>12.9</v>
          </cell>
          <cell r="D256">
            <v>12.9</v>
          </cell>
        </row>
        <row r="257">
          <cell r="A257" t="str">
            <v>Office security / Sec.Equipment</v>
          </cell>
          <cell r="B257">
            <v>-105714135.36</v>
          </cell>
          <cell r="C257">
            <v>12.9</v>
          </cell>
          <cell r="D257">
            <v>12.9</v>
          </cell>
        </row>
        <row r="258">
          <cell r="A258" t="str">
            <v>Rent</v>
          </cell>
          <cell r="B258">
            <v>-467137070.13999999</v>
          </cell>
          <cell r="C258">
            <v>12.9</v>
          </cell>
          <cell r="D258">
            <v>12.9</v>
          </cell>
        </row>
        <row r="259">
          <cell r="A259" t="str">
            <v>Stores Charges</v>
          </cell>
          <cell r="B259">
            <v>-1078038.33</v>
          </cell>
          <cell r="C259">
            <v>12.9</v>
          </cell>
          <cell r="D259">
            <v>12.9</v>
          </cell>
        </row>
        <row r="260">
          <cell r="A260" t="str">
            <v>Advertising   Notices (General)</v>
          </cell>
          <cell r="B260">
            <v>-1060901.42</v>
          </cell>
          <cell r="C260">
            <v>12.9</v>
          </cell>
          <cell r="D260">
            <v>12.9</v>
          </cell>
        </row>
        <row r="261">
          <cell r="A261" t="str">
            <v>Advertising  (Public Relation)</v>
          </cell>
          <cell r="B261">
            <v>-810537725.9799999</v>
          </cell>
          <cell r="C261">
            <v>12.9</v>
          </cell>
          <cell r="D261">
            <v>12.9</v>
          </cell>
        </row>
        <row r="262">
          <cell r="A262" t="str">
            <v>Advert. Notices -(Publicity)</v>
          </cell>
          <cell r="B262">
            <v>-158014724.84</v>
          </cell>
          <cell r="C262">
            <v>12.9</v>
          </cell>
          <cell r="D262">
            <v>12.9</v>
          </cell>
        </row>
        <row r="263">
          <cell r="A263" t="str">
            <v>Annual General Meeting</v>
          </cell>
          <cell r="B263">
            <v>0</v>
          </cell>
          <cell r="C263">
            <v>12.9</v>
          </cell>
          <cell r="D263">
            <v>12.9</v>
          </cell>
        </row>
        <row r="264">
          <cell r="A264" t="str">
            <v>Automated Chq. Clearing</v>
          </cell>
          <cell r="B264">
            <v>-75920599.079999998</v>
          </cell>
          <cell r="C264">
            <v>12.9</v>
          </cell>
          <cell r="D264">
            <v>12.9</v>
          </cell>
        </row>
        <row r="265">
          <cell r="A265" t="str">
            <v>Business Promotion</v>
          </cell>
          <cell r="B265">
            <v>-76133209.209999993</v>
          </cell>
          <cell r="C265">
            <v>12.9</v>
          </cell>
          <cell r="D265">
            <v>12.9</v>
          </cell>
        </row>
        <row r="266">
          <cell r="A266" t="str">
            <v>Cash Transport</v>
          </cell>
          <cell r="B266">
            <v>-9083029.0199999996</v>
          </cell>
          <cell r="C266">
            <v>12.9</v>
          </cell>
          <cell r="D266">
            <v>12.9</v>
          </cell>
        </row>
        <row r="267">
          <cell r="A267" t="str">
            <v>Cheque &amp; Draft Books</v>
          </cell>
          <cell r="B267">
            <v>-21468545.550000001</v>
          </cell>
          <cell r="C267">
            <v>12.9</v>
          </cell>
          <cell r="D267">
            <v>12.9</v>
          </cell>
        </row>
        <row r="268">
          <cell r="A268" t="str">
            <v>Courier Services</v>
          </cell>
          <cell r="B268">
            <v>-28174089.049999997</v>
          </cell>
          <cell r="C268">
            <v>12.9</v>
          </cell>
          <cell r="D268">
            <v>12.9</v>
          </cell>
        </row>
        <row r="269">
          <cell r="A269" t="str">
            <v>Data communication</v>
          </cell>
          <cell r="B269">
            <v>-266344687.33999997</v>
          </cell>
          <cell r="C269">
            <v>12.9</v>
          </cell>
          <cell r="D269">
            <v>12.9</v>
          </cell>
        </row>
        <row r="270">
          <cell r="A270" t="str">
            <v>Disketts Processing (Slips)</v>
          </cell>
          <cell r="B270">
            <v>-4794496</v>
          </cell>
          <cell r="C270">
            <v>12.9</v>
          </cell>
          <cell r="D270">
            <v>12.9</v>
          </cell>
        </row>
        <row r="271">
          <cell r="A271" t="str">
            <v>Entertainment</v>
          </cell>
          <cell r="B271">
            <v>-32391298.079999998</v>
          </cell>
          <cell r="C271">
            <v>12.9</v>
          </cell>
          <cell r="D271">
            <v>12.1</v>
          </cell>
        </row>
        <row r="272">
          <cell r="A272" t="str">
            <v>E  Mail</v>
          </cell>
          <cell r="B272">
            <v>-16177</v>
          </cell>
          <cell r="C272">
            <v>12.9</v>
          </cell>
          <cell r="D272">
            <v>12.1</v>
          </cell>
        </row>
        <row r="273">
          <cell r="A273" t="str">
            <v>News Papers &amp; Periodicals</v>
          </cell>
          <cell r="B273">
            <v>-13054464.379999999</v>
          </cell>
          <cell r="C273">
            <v>12.9</v>
          </cell>
          <cell r="D273">
            <v>12.1</v>
          </cell>
        </row>
        <row r="274">
          <cell r="A274" t="str">
            <v>Postage</v>
          </cell>
          <cell r="B274">
            <v>-194166628.31999999</v>
          </cell>
          <cell r="C274">
            <v>12.9</v>
          </cell>
          <cell r="D274">
            <v>12.9</v>
          </cell>
        </row>
        <row r="275">
          <cell r="A275" t="str">
            <v>Publications</v>
          </cell>
          <cell r="B275">
            <v>-12076826.190000001</v>
          </cell>
          <cell r="C275">
            <v>12.9</v>
          </cell>
          <cell r="D275">
            <v>12.1</v>
          </cell>
        </row>
        <row r="276">
          <cell r="A276" t="str">
            <v>Rates And Taxes</v>
          </cell>
          <cell r="B276">
            <v>-32232854.079999998</v>
          </cell>
          <cell r="C276">
            <v>12.9</v>
          </cell>
          <cell r="D276">
            <v>12.9</v>
          </cell>
        </row>
        <row r="277">
          <cell r="A277" t="str">
            <v>Reuter &amp; Other Charges</v>
          </cell>
          <cell r="B277">
            <v>-25673273.73</v>
          </cell>
          <cell r="C277">
            <v>12.9</v>
          </cell>
          <cell r="D277">
            <v>12.9</v>
          </cell>
        </row>
        <row r="278">
          <cell r="A278" t="str">
            <v>Staff Training</v>
          </cell>
          <cell r="B278">
            <v>-35885729.609999999</v>
          </cell>
          <cell r="C278">
            <v>12.9</v>
          </cell>
          <cell r="D278">
            <v>12.9</v>
          </cell>
        </row>
        <row r="279">
          <cell r="A279" t="str">
            <v>C/A oseas bisi. Pro.&amp; tech. conference</v>
          </cell>
          <cell r="B279">
            <v>-3247627.4499999997</v>
          </cell>
          <cell r="C279">
            <v>12.9</v>
          </cell>
          <cell r="D279">
            <v>12.9</v>
          </cell>
        </row>
        <row r="280">
          <cell r="A280" t="str">
            <v>Stationery</v>
          </cell>
          <cell r="B280">
            <v>-334157267.00999999</v>
          </cell>
          <cell r="C280">
            <v>12.9</v>
          </cell>
          <cell r="D280">
            <v>12.1</v>
          </cell>
        </row>
        <row r="281">
          <cell r="A281" t="str">
            <v>SWIFT</v>
          </cell>
          <cell r="B281">
            <v>-13476963.119999999</v>
          </cell>
          <cell r="C281">
            <v>12.9</v>
          </cell>
          <cell r="D281">
            <v>12.9</v>
          </cell>
        </row>
        <row r="282">
          <cell r="A282" t="str">
            <v>Telegrams</v>
          </cell>
          <cell r="B282">
            <v>-150959</v>
          </cell>
          <cell r="C282">
            <v>12.9</v>
          </cell>
          <cell r="D282">
            <v>12.9</v>
          </cell>
        </row>
        <row r="283">
          <cell r="A283" t="str">
            <v>Telephone Other Charges</v>
          </cell>
          <cell r="B283">
            <v>-13428417.689999999</v>
          </cell>
          <cell r="C283">
            <v>12.9</v>
          </cell>
          <cell r="D283">
            <v>12.9</v>
          </cell>
        </row>
        <row r="284">
          <cell r="A284" t="str">
            <v xml:space="preserve">Telephone   Rental   &amp;   C/O.  Calls </v>
          </cell>
          <cell r="B284">
            <v>-141897477.73000002</v>
          </cell>
          <cell r="C284">
            <v>12.9</v>
          </cell>
          <cell r="D284">
            <v>12.9</v>
          </cell>
        </row>
        <row r="285">
          <cell r="A285" t="str">
            <v>Telex Rental &amp; C/O. Calls</v>
          </cell>
          <cell r="B285">
            <v>-62443</v>
          </cell>
          <cell r="C285">
            <v>12.9</v>
          </cell>
          <cell r="D285">
            <v>12.9</v>
          </cell>
        </row>
        <row r="286">
          <cell r="A286" t="str">
            <v>Telex   &amp;  Other    Charges</v>
          </cell>
          <cell r="B286">
            <v>-138772</v>
          </cell>
          <cell r="C286">
            <v>12.9</v>
          </cell>
          <cell r="D286">
            <v>12.9</v>
          </cell>
        </row>
        <row r="287">
          <cell r="A287" t="str">
            <v>Staff  Subsistence  &amp;  Lodging</v>
          </cell>
          <cell r="B287">
            <v>-37694462.370000005</v>
          </cell>
          <cell r="C287">
            <v>12.9</v>
          </cell>
          <cell r="D287">
            <v>12.9</v>
          </cell>
        </row>
        <row r="288">
          <cell r="A288" t="str">
            <v>Staff Travelling</v>
          </cell>
          <cell r="B288">
            <v>-23113910.169999998</v>
          </cell>
          <cell r="C288">
            <v>12.9</v>
          </cell>
          <cell r="D288">
            <v>12.9</v>
          </cell>
        </row>
        <row r="289">
          <cell r="A289" t="str">
            <v>Payment to Visa</v>
          </cell>
          <cell r="B289">
            <v>-46198520.469999999</v>
          </cell>
          <cell r="C289">
            <v>12.9</v>
          </cell>
          <cell r="D289">
            <v>12.9</v>
          </cell>
        </row>
        <row r="290">
          <cell r="A290" t="str">
            <v>Process of Serviceable Currency Notes</v>
          </cell>
          <cell r="B290">
            <v>-13767400</v>
          </cell>
          <cell r="C290">
            <v>12.9</v>
          </cell>
          <cell r="D290">
            <v>12.9</v>
          </cell>
        </row>
        <row r="291">
          <cell r="A291" t="str">
            <v>National Building Tax</v>
          </cell>
          <cell r="B291">
            <v>-12200679.719999999</v>
          </cell>
          <cell r="C291">
            <v>12.9</v>
          </cell>
          <cell r="D291">
            <v>12.9</v>
          </cell>
        </row>
        <row r="292">
          <cell r="A292" t="str">
            <v>Fees For RTGS Transaction</v>
          </cell>
          <cell r="B292">
            <v>-2215900</v>
          </cell>
          <cell r="C292">
            <v>12.9</v>
          </cell>
          <cell r="D292">
            <v>12.9</v>
          </cell>
        </row>
        <row r="293">
          <cell r="A293" t="str">
            <v xml:space="preserve">CHARGES A/C.  WITHHOLDING TAX                                        </v>
          </cell>
          <cell r="B293">
            <v>-150770259.72</v>
          </cell>
          <cell r="C293">
            <v>12.9</v>
          </cell>
          <cell r="D293">
            <v>12.9</v>
          </cell>
        </row>
        <row r="294">
          <cell r="A294" t="str">
            <v>Activity   Fees  ect. paid  to  Foreign  Banks</v>
          </cell>
          <cell r="B294">
            <v>-24704024.869999997</v>
          </cell>
          <cell r="C294">
            <v>12.9</v>
          </cell>
          <cell r="D294">
            <v>12.9</v>
          </cell>
        </row>
        <row r="295">
          <cell r="A295" t="str">
            <v xml:space="preserve">LESS: Income Tax  </v>
          </cell>
          <cell r="B295">
            <v>-5000000000</v>
          </cell>
          <cell r="C295">
            <v>13</v>
          </cell>
          <cell r="D295">
            <v>13</v>
          </cell>
        </row>
        <row r="296">
          <cell r="A296" t="str">
            <v>Vat Paid DIR</v>
          </cell>
          <cell r="B296">
            <v>-2556473861.8600001</v>
          </cell>
          <cell r="C296">
            <v>13.1</v>
          </cell>
          <cell r="D296">
            <v>13.1</v>
          </cell>
        </row>
        <row r="297">
          <cell r="A297" t="str">
            <v>Loan Loss Provision-Bad Debts</v>
          </cell>
          <cell r="B297">
            <v>-2544869037.4700003</v>
          </cell>
          <cell r="C297" t="str">
            <v>*****</v>
          </cell>
          <cell r="D297" t="str">
            <v>*****</v>
          </cell>
        </row>
        <row r="298">
          <cell r="B298">
            <v>10420219547.805016</v>
          </cell>
        </row>
        <row r="299">
          <cell r="B299">
            <v>10420219547.805023</v>
          </cell>
        </row>
        <row r="300">
          <cell r="B30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Holding"/>
      <sheetName val="Cover "/>
      <sheetName val="Contents"/>
      <sheetName val="Highlights"/>
      <sheetName val="P and L "/>
      <sheetName val="Balance Sheet "/>
      <sheetName val="Equity "/>
      <sheetName val="CF"/>
      <sheetName val="Transitional Adjustments"/>
      <sheetName val="Console working 2013"/>
      <sheetName val="Console Workings"/>
      <sheetName val="Selling &amp; Distribution"/>
      <sheetName val="10 yr Summ"/>
      <sheetName val="Value added1"/>
      <sheetName val="Segment Report"/>
      <sheetName val="4"/>
      <sheetName val="4.1.1"/>
      <sheetName val="4.1.2"/>
      <sheetName val="5-8.2"/>
      <sheetName val="8.3-10"/>
      <sheetName val="11.1-11.2"/>
      <sheetName val="11.3-11.4"/>
      <sheetName val="11.5-11.6"/>
      <sheetName val="11.8-11.10"/>
      <sheetName val="12-14"/>
      <sheetName val="15-22"/>
      <sheetName val="23-24"/>
      <sheetName val="25"/>
      <sheetName val="26-30"/>
      <sheetName val="31.1.1-31.1.2"/>
      <sheetName val="31.2-35"/>
      <sheetName val="Consol"/>
      <sheetName val="Consol working"/>
      <sheetName val="10 History"/>
      <sheetName val="Value added"/>
      <sheetName val="Recon with Mgt"/>
      <sheetName val="36-37"/>
      <sheetName val="37P&amp;L"/>
      <sheetName val="37 BS"/>
      <sheetName val="37.5-37.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ver"/>
      <sheetName val="Front"/>
      <sheetName val="Contents"/>
      <sheetName val="BS"/>
      <sheetName val="P &amp; L C &amp; G"/>
      <sheetName val="P &amp; L company"/>
      <sheetName val="P &amp; L group"/>
      <sheetName val="Compreh. In C &amp; G"/>
      <sheetName val="Compreh. In Co"/>
      <sheetName val="Compreh. In Gr"/>
      <sheetName val="CE_Company"/>
      <sheetName val="CE_Company (C&amp;G)"/>
      <sheetName val="CE_Group"/>
      <sheetName val="CE_Group (C&amp;G)"/>
      <sheetName val="CF final (2)"/>
      <sheetName val="CF final (NEW)"/>
      <sheetName val="Measurmt basis (C)"/>
      <sheetName val="Measurmt basis (G)"/>
      <sheetName val="FV disclosue"/>
      <sheetName val="Segment"/>
      <sheetName val="Shares"/>
      <sheetName val="Shareholders"/>
      <sheetName val="Notes"/>
      <sheetName val="Notes (2)"/>
      <sheetName val="Impairment"/>
      <sheetName val="Debenture"/>
      <sheetName val="Debenture (2)"/>
      <sheetName val="RPT-C"/>
      <sheetName val="Cop Infor"/>
      <sheetName val="End"/>
      <sheetName val="Notes (3)"/>
      <sheetName val="Notes (4)"/>
      <sheetName val="Ratios"/>
      <sheetName val="RPT-G"/>
      <sheetName val="BS (3)"/>
      <sheetName val="P &amp; L (company)"/>
      <sheetName val="P &amp; L (C &amp; G)"/>
      <sheetName val="P &amp; L (group)"/>
      <sheetName val="Compreh. Income (C &amp; G)"/>
      <sheetName val="Compreh. Income (C)"/>
      <sheetName val="Compreh. Income (G)"/>
      <sheetName val="CE_Company (2)"/>
      <sheetName val="CE_Company (C&amp;G)W"/>
      <sheetName val="CE_Group 1 (2)"/>
      <sheetName val="CE_Group 1 (C&amp;G)W"/>
      <sheetName val="Segment final"/>
      <sheetName val="CF Working - 2017"/>
      <sheetName val="CF final"/>
      <sheetName val="CF (indirect)"/>
      <sheetName val="CF Working - 2018"/>
      <sheetName val="CF (direct)"/>
      <sheetName val="BS (4)"/>
      <sheetName val="Ratio cal"/>
      <sheetName val="Contingencies &amp; comm"/>
      <sheetName val="Sheet1"/>
      <sheetName val="Sheet3"/>
      <sheetName val="Sheet2"/>
    </sheetNames>
    <sheetDataSet>
      <sheetData sheetId="0">
        <row r="53">
          <cell r="O53" t="str">
            <v>30th September 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83">
          <cell r="H383" t="e">
            <v>#DIV/0!</v>
          </cell>
        </row>
      </sheetData>
      <sheetData sheetId="53"/>
      <sheetData sheetId="54"/>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mailto:sspsec@sltnet.lk" TargetMode="External"/><Relationship Id="rId2" Type="http://schemas.openxmlformats.org/officeDocument/2006/relationships/hyperlink" Target="http://www.plc.lk/" TargetMode="External"/><Relationship Id="rId1" Type="http://schemas.openxmlformats.org/officeDocument/2006/relationships/hyperlink" Target="mailto:plclease@plc.lk" TargetMode="Externa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00"/>
    <pageSetUpPr fitToPage="1"/>
  </sheetPr>
  <dimension ref="B55:H55"/>
  <sheetViews>
    <sheetView view="pageBreakPreview" zoomScale="80" zoomScaleNormal="77" zoomScaleSheetLayoutView="80" workbookViewId="0">
      <selection activeCell="R48" sqref="R48"/>
    </sheetView>
  </sheetViews>
  <sheetFormatPr defaultRowHeight="15"/>
  <cols>
    <col min="1" max="1" width="9.140625" style="449"/>
    <col min="2" max="2" width="9.5703125" style="449" customWidth="1"/>
    <col min="3" max="8" width="9.140625" style="449"/>
    <col min="9" max="9" width="10.42578125" style="449" customWidth="1"/>
    <col min="10" max="10" width="9.85546875" style="449" customWidth="1"/>
    <col min="11" max="12" width="11.5703125" style="449" customWidth="1"/>
    <col min="13" max="13" width="7" style="449" customWidth="1"/>
    <col min="14" max="16384" width="9.140625" style="449"/>
  </cols>
  <sheetData>
    <row r="55" spans="2:8" ht="30">
      <c r="B55" s="448" t="s">
        <v>516</v>
      </c>
      <c r="C55" s="448"/>
      <c r="D55" s="448"/>
      <c r="E55" s="448"/>
      <c r="F55" s="448"/>
      <c r="G55" s="448"/>
      <c r="H55" s="448"/>
    </row>
  </sheetData>
  <pageMargins left="0" right="0" top="0" bottom="0" header="0" footer="0"/>
  <pageSetup paperSize="9" scale="99" orientation="portrait" r:id="rId1"/>
  <drawing r:id="rId2"/>
</worksheet>
</file>

<file path=xl/worksheets/sheet10.xml><?xml version="1.0" encoding="utf-8"?>
<worksheet xmlns="http://schemas.openxmlformats.org/spreadsheetml/2006/main" xmlns:r="http://schemas.openxmlformats.org/officeDocument/2006/relationships">
  <sheetPr>
    <tabColor rgb="FFFF0000"/>
  </sheetPr>
  <dimension ref="B1:Q45"/>
  <sheetViews>
    <sheetView view="pageBreakPreview" zoomScale="89" zoomScaleSheetLayoutView="89" workbookViewId="0">
      <selection activeCell="B3" sqref="B3:P3"/>
    </sheetView>
  </sheetViews>
  <sheetFormatPr defaultColWidth="9.140625" defaultRowHeight="15.75"/>
  <cols>
    <col min="1" max="1" width="9.140625" style="9"/>
    <col min="2" max="2" width="2.140625" style="9" customWidth="1"/>
    <col min="3" max="3" width="49.28515625" style="9" customWidth="1"/>
    <col min="4" max="4" width="2.7109375" style="9" customWidth="1"/>
    <col min="5" max="5" width="14.140625" style="46" bestFit="1" customWidth="1"/>
    <col min="6" max="6" width="0.85546875" style="10" customWidth="1"/>
    <col min="7" max="7" width="11.7109375" style="9" customWidth="1"/>
    <col min="8" max="8" width="0.85546875" style="9" customWidth="1"/>
    <col min="9" max="9" width="9.5703125" style="9" customWidth="1"/>
    <col min="10" max="10" width="0.85546875" style="9" customWidth="1"/>
    <col min="11" max="11" width="13.140625" style="13" customWidth="1"/>
    <col min="12" max="12" width="0.85546875" style="12" customWidth="1"/>
    <col min="13" max="13" width="11.7109375" style="13" customWidth="1"/>
    <col min="14" max="14" width="0.85546875" style="13" customWidth="1"/>
    <col min="15" max="15" width="9.5703125" style="9" customWidth="1"/>
    <col min="16" max="16" width="2.28515625" style="9" customWidth="1"/>
    <col min="17" max="16384" width="9.140625" style="9"/>
  </cols>
  <sheetData>
    <row r="1" spans="2:16" ht="79.5" customHeight="1">
      <c r="B1" s="1737" t="s">
        <v>517</v>
      </c>
      <c r="C1" s="1737"/>
      <c r="D1" s="1737"/>
      <c r="E1" s="1737"/>
      <c r="F1" s="1737"/>
      <c r="G1" s="1737"/>
      <c r="H1" s="1737"/>
      <c r="I1" s="1737"/>
      <c r="J1" s="1737"/>
      <c r="K1" s="1737"/>
      <c r="L1" s="1737"/>
      <c r="M1" s="1737"/>
      <c r="N1" s="1737"/>
      <c r="O1" s="1737"/>
      <c r="P1" s="1737"/>
    </row>
    <row r="2" spans="2:16">
      <c r="B2" s="13"/>
      <c r="C2" s="565"/>
      <c r="D2" s="313"/>
      <c r="E2" s="313"/>
      <c r="F2" s="313"/>
      <c r="G2" s="313"/>
      <c r="H2" s="313"/>
      <c r="I2" s="313"/>
      <c r="J2" s="313"/>
      <c r="K2" s="313"/>
      <c r="L2" s="313"/>
      <c r="M2" s="313"/>
      <c r="N2" s="313"/>
      <c r="O2" s="313"/>
      <c r="P2" s="13"/>
    </row>
    <row r="3" spans="2:16" ht="18.75">
      <c r="B3" s="1738" t="s">
        <v>353</v>
      </c>
      <c r="C3" s="1709"/>
      <c r="D3" s="1709"/>
      <c r="E3" s="1709"/>
      <c r="F3" s="1709"/>
      <c r="G3" s="1709"/>
      <c r="H3" s="1709"/>
      <c r="I3" s="1709"/>
      <c r="J3" s="1709"/>
      <c r="K3" s="1709"/>
      <c r="L3" s="1709"/>
      <c r="M3" s="1709"/>
      <c r="N3" s="1709"/>
      <c r="O3" s="1709"/>
      <c r="P3" s="1709"/>
    </row>
    <row r="4" spans="2:16" s="566" customFormat="1" ht="17.25" thickBot="1">
      <c r="B4" s="569"/>
      <c r="C4" s="567"/>
      <c r="D4" s="568"/>
      <c r="E4" s="568"/>
      <c r="F4" s="568"/>
      <c r="G4" s="568"/>
      <c r="H4" s="568"/>
      <c r="I4" s="568"/>
      <c r="J4" s="568"/>
      <c r="K4" s="568"/>
      <c r="L4" s="568"/>
      <c r="M4" s="568"/>
      <c r="N4" s="568"/>
      <c r="O4" s="568"/>
      <c r="P4" s="569"/>
    </row>
    <row r="5" spans="2:16" s="566" customFormat="1" ht="16.5">
      <c r="B5" s="657"/>
      <c r="C5" s="620"/>
      <c r="D5" s="621"/>
      <c r="E5" s="621"/>
      <c r="F5" s="621"/>
      <c r="G5" s="621"/>
      <c r="H5" s="621"/>
      <c r="I5" s="621"/>
      <c r="J5" s="621"/>
      <c r="K5" s="621"/>
      <c r="L5" s="621"/>
      <c r="M5" s="621"/>
      <c r="N5" s="621"/>
      <c r="O5" s="621"/>
      <c r="P5" s="622"/>
    </row>
    <row r="6" spans="2:16" s="566" customFormat="1" ht="14.25" customHeight="1">
      <c r="B6" s="623"/>
      <c r="C6" s="573"/>
      <c r="D6" s="573"/>
      <c r="E6" s="585"/>
      <c r="F6" s="573"/>
      <c r="G6" s="573"/>
      <c r="H6" s="573"/>
      <c r="I6" s="573"/>
      <c r="J6" s="573"/>
      <c r="K6" s="593"/>
      <c r="L6" s="593"/>
      <c r="M6" s="593"/>
      <c r="N6" s="593"/>
      <c r="O6" s="573"/>
      <c r="P6" s="624"/>
    </row>
    <row r="7" spans="2:16" s="566" customFormat="1" ht="16.5" customHeight="1" thickBot="1">
      <c r="B7" s="623"/>
      <c r="C7" s="570"/>
      <c r="D7" s="570"/>
      <c r="E7" s="1712" t="s">
        <v>407</v>
      </c>
      <c r="F7" s="1712"/>
      <c r="G7" s="1712"/>
      <c r="H7" s="1712"/>
      <c r="I7" s="1712"/>
      <c r="J7" s="571"/>
      <c r="K7" s="1713" t="s">
        <v>351</v>
      </c>
      <c r="L7" s="1713" t="s">
        <v>78</v>
      </c>
      <c r="M7" s="1713"/>
      <c r="N7" s="572"/>
      <c r="O7" s="573"/>
      <c r="P7" s="624"/>
    </row>
    <row r="8" spans="2:16" s="566" customFormat="1" ht="16.5">
      <c r="B8" s="623"/>
      <c r="C8" s="570"/>
      <c r="D8" s="570"/>
      <c r="E8" s="574" t="str">
        <f>BS!E7</f>
        <v>30.09.2014</v>
      </c>
      <c r="F8" s="575"/>
      <c r="G8" s="576" t="str">
        <f>BS!G7</f>
        <v>30.09.2013</v>
      </c>
      <c r="H8" s="576"/>
      <c r="I8" s="576" t="s">
        <v>391</v>
      </c>
      <c r="J8" s="576"/>
      <c r="K8" s="574" t="str">
        <f>BS!K7</f>
        <v>30.09.2014</v>
      </c>
      <c r="L8" s="575"/>
      <c r="M8" s="576" t="str">
        <f>BS!M7</f>
        <v>30.09.2013</v>
      </c>
      <c r="N8" s="576"/>
      <c r="O8" s="576" t="s">
        <v>391</v>
      </c>
      <c r="P8" s="624"/>
    </row>
    <row r="9" spans="2:16" s="566" customFormat="1" ht="16.5">
      <c r="B9" s="623"/>
      <c r="C9" s="570"/>
      <c r="D9" s="570"/>
      <c r="E9" s="577" t="s">
        <v>150</v>
      </c>
      <c r="F9" s="575"/>
      <c r="G9" s="576" t="s">
        <v>150</v>
      </c>
      <c r="H9" s="576"/>
      <c r="I9" s="576" t="s">
        <v>28</v>
      </c>
      <c r="J9" s="576"/>
      <c r="K9" s="577" t="s">
        <v>150</v>
      </c>
      <c r="L9" s="576"/>
      <c r="M9" s="576" t="s">
        <v>150</v>
      </c>
      <c r="N9" s="576"/>
      <c r="O9" s="576" t="s">
        <v>28</v>
      </c>
      <c r="P9" s="624"/>
    </row>
    <row r="10" spans="2:16" s="566" customFormat="1" ht="17.25" thickBot="1">
      <c r="B10" s="623"/>
      <c r="C10" s="578"/>
      <c r="D10" s="578"/>
      <c r="E10" s="579" t="s">
        <v>148</v>
      </c>
      <c r="F10" s="580"/>
      <c r="G10" s="581" t="s">
        <v>163</v>
      </c>
      <c r="H10" s="581"/>
      <c r="I10" s="581"/>
      <c r="J10" s="581"/>
      <c r="K10" s="579" t="s">
        <v>148</v>
      </c>
      <c r="L10" s="582"/>
      <c r="M10" s="581" t="s">
        <v>148</v>
      </c>
      <c r="N10" s="581"/>
      <c r="O10" s="583"/>
      <c r="P10" s="624"/>
    </row>
    <row r="11" spans="2:16" s="566" customFormat="1" ht="20.100000000000001" customHeight="1">
      <c r="B11" s="623"/>
      <c r="C11" s="612" t="s">
        <v>79</v>
      </c>
      <c r="D11" s="612"/>
      <c r="E11" s="613">
        <f>ROUND('P &amp; L (group)'!C7/1000000,0)</f>
        <v>0</v>
      </c>
      <c r="F11" s="614"/>
      <c r="G11" s="614">
        <f>ROUND('P &amp; L (group)'!E7/1000000,0)</f>
        <v>0</v>
      </c>
      <c r="H11" s="614"/>
      <c r="I11" s="615" t="e">
        <f t="shared" ref="I11:I19" si="0">(E11/G11-1)*100</f>
        <v>#DIV/0!</v>
      </c>
      <c r="J11" s="614"/>
      <c r="K11" s="613">
        <f>ROUND('P &amp; L (group)'!I7/1000000,0)</f>
        <v>-20053</v>
      </c>
      <c r="L11" s="614"/>
      <c r="M11" s="614">
        <f>ROUND('P &amp; L (group)'!K7/1000000,0)</f>
        <v>-17485</v>
      </c>
      <c r="N11" s="614"/>
      <c r="O11" s="615">
        <f t="shared" ref="O11:O19" si="1">(K11/M11-1)*100</f>
        <v>14.686874463826127</v>
      </c>
      <c r="P11" s="624"/>
    </row>
    <row r="12" spans="2:16" s="566" customFormat="1" ht="20.100000000000001" customHeight="1">
      <c r="B12" s="623"/>
      <c r="C12" s="605" t="s">
        <v>333</v>
      </c>
      <c r="D12" s="605"/>
      <c r="E12" s="587">
        <f>ROUND('P &amp; L (group)'!C8/1000000,0)</f>
        <v>0</v>
      </c>
      <c r="F12" s="588"/>
      <c r="G12" s="588">
        <f>ROUND('P &amp; L (group)'!E8/1000000,0)</f>
        <v>0</v>
      </c>
      <c r="H12" s="588"/>
      <c r="I12" s="606" t="e">
        <f t="shared" si="0"/>
        <v>#DIV/0!</v>
      </c>
      <c r="J12" s="588"/>
      <c r="K12" s="587">
        <f>ROUND('P &amp; L (group)'!I8/1000000,0)</f>
        <v>-11396</v>
      </c>
      <c r="L12" s="588"/>
      <c r="M12" s="588">
        <f>ROUND('P &amp; L (group)'!K8/1000000,0)</f>
        <v>-10308</v>
      </c>
      <c r="N12" s="588"/>
      <c r="O12" s="606">
        <f t="shared" si="1"/>
        <v>10.554908808692275</v>
      </c>
      <c r="P12" s="624"/>
    </row>
    <row r="13" spans="2:16" s="589" customFormat="1" ht="20.100000000000001" customHeight="1">
      <c r="B13" s="625"/>
      <c r="C13" s="639" t="s">
        <v>80</v>
      </c>
      <c r="D13" s="639"/>
      <c r="E13" s="640">
        <f>E11-E12</f>
        <v>0</v>
      </c>
      <c r="F13" s="641"/>
      <c r="G13" s="641">
        <f>G11-G12</f>
        <v>0</v>
      </c>
      <c r="H13" s="641"/>
      <c r="I13" s="642" t="e">
        <f t="shared" si="0"/>
        <v>#DIV/0!</v>
      </c>
      <c r="J13" s="641"/>
      <c r="K13" s="640">
        <f>K11-K12</f>
        <v>-8657</v>
      </c>
      <c r="L13" s="641"/>
      <c r="M13" s="641">
        <f>M11-M12</f>
        <v>-7177</v>
      </c>
      <c r="N13" s="641"/>
      <c r="O13" s="642">
        <f t="shared" si="1"/>
        <v>20.621429566671303</v>
      </c>
      <c r="P13" s="626"/>
    </row>
    <row r="14" spans="2:16" s="566" customFormat="1" ht="20.100000000000001" customHeight="1">
      <c r="B14" s="623"/>
      <c r="C14" s="643" t="s">
        <v>322</v>
      </c>
      <c r="D14" s="643"/>
      <c r="E14" s="644">
        <f>ROUND('P &amp; L (group)'!C10/1000000,0)</f>
        <v>0</v>
      </c>
      <c r="F14" s="645"/>
      <c r="G14" s="645">
        <f>ROUND('P &amp; L (group)'!E10/1000000,0)</f>
        <v>0</v>
      </c>
      <c r="H14" s="645"/>
      <c r="I14" s="646" t="e">
        <f t="shared" si="0"/>
        <v>#DIV/0!</v>
      </c>
      <c r="J14" s="645"/>
      <c r="K14" s="644">
        <f>ROUND('P &amp; L (group)'!I10/1000000,0)</f>
        <v>-3464</v>
      </c>
      <c r="L14" s="645"/>
      <c r="M14" s="645">
        <f>ROUND('P &amp; L (group)'!K10/1000000,0)</f>
        <v>-2448</v>
      </c>
      <c r="N14" s="645"/>
      <c r="O14" s="646">
        <f t="shared" si="1"/>
        <v>41.503267973856218</v>
      </c>
      <c r="P14" s="624"/>
    </row>
    <row r="15" spans="2:16" s="566" customFormat="1" ht="20.100000000000001" customHeight="1">
      <c r="B15" s="623"/>
      <c r="C15" s="643" t="s">
        <v>334</v>
      </c>
      <c r="D15" s="643"/>
      <c r="E15" s="644">
        <f>ROUND('P &amp; L (group)'!C11/1000000,0)</f>
        <v>0</v>
      </c>
      <c r="F15" s="645"/>
      <c r="G15" s="645">
        <f>ROUND('P &amp; L (group)'!E11/1000000,0)</f>
        <v>0</v>
      </c>
      <c r="H15" s="645"/>
      <c r="I15" s="646" t="e">
        <f t="shared" si="0"/>
        <v>#DIV/0!</v>
      </c>
      <c r="J15" s="645"/>
      <c r="K15" s="644">
        <f>ROUND('P &amp; L (group)'!I11/1000000,0)</f>
        <v>-393</v>
      </c>
      <c r="L15" s="645"/>
      <c r="M15" s="645">
        <f>ROUND('P &amp; L (group)'!K11/1000000,0)</f>
        <v>-517</v>
      </c>
      <c r="N15" s="645"/>
      <c r="O15" s="646">
        <f t="shared" si="1"/>
        <v>-23.984526112185691</v>
      </c>
      <c r="P15" s="624"/>
    </row>
    <row r="16" spans="2:16" s="566" customFormat="1" ht="19.5" customHeight="1">
      <c r="B16" s="623"/>
      <c r="C16" s="605" t="s">
        <v>152</v>
      </c>
      <c r="D16" s="605"/>
      <c r="E16" s="587">
        <f>ROUND('P &amp; L (group)'!C12/1000000,0)</f>
        <v>0</v>
      </c>
      <c r="F16" s="588"/>
      <c r="G16" s="588">
        <f>ROUND('P &amp; L (group)'!E12/1000000,0)</f>
        <v>0</v>
      </c>
      <c r="H16" s="588"/>
      <c r="I16" s="606" t="e">
        <f t="shared" si="0"/>
        <v>#DIV/0!</v>
      </c>
      <c r="J16" s="588"/>
      <c r="K16" s="587">
        <f>ROUND('P &amp; L (group)'!I12/1000000,0)</f>
        <v>-266</v>
      </c>
      <c r="L16" s="588"/>
      <c r="M16" s="588">
        <f>ROUND('P &amp; L (group)'!K12/1000000,0)</f>
        <v>-363</v>
      </c>
      <c r="N16" s="588"/>
      <c r="O16" s="606">
        <f t="shared" si="1"/>
        <v>-26.721763085399452</v>
      </c>
      <c r="P16" s="624"/>
    </row>
    <row r="17" spans="2:16" s="589" customFormat="1" ht="19.5" customHeight="1">
      <c r="B17" s="625"/>
      <c r="C17" s="639" t="s">
        <v>81</v>
      </c>
      <c r="D17" s="639"/>
      <c r="E17" s="640">
        <f>E13+E14+E15+E16</f>
        <v>0</v>
      </c>
      <c r="F17" s="641"/>
      <c r="G17" s="641">
        <f>G13+G14+G15+G16</f>
        <v>0</v>
      </c>
      <c r="H17" s="641"/>
      <c r="I17" s="642" t="e">
        <f t="shared" si="0"/>
        <v>#DIV/0!</v>
      </c>
      <c r="J17" s="641"/>
      <c r="K17" s="640">
        <f>K13+K14+K15+K16</f>
        <v>-12780</v>
      </c>
      <c r="L17" s="641"/>
      <c r="M17" s="641">
        <f>M13+M14+M15+M16</f>
        <v>-10505</v>
      </c>
      <c r="N17" s="641"/>
      <c r="O17" s="642">
        <f t="shared" si="1"/>
        <v>21.656354117087105</v>
      </c>
      <c r="P17" s="626"/>
    </row>
    <row r="18" spans="2:16" s="566" customFormat="1" ht="19.5" customHeight="1">
      <c r="B18" s="623"/>
      <c r="C18" s="605" t="s">
        <v>153</v>
      </c>
      <c r="D18" s="605"/>
      <c r="E18" s="587">
        <f>ROUND('P &amp; L (group)'!C14/1000000,0)</f>
        <v>0</v>
      </c>
      <c r="F18" s="588"/>
      <c r="G18" s="588">
        <f>ROUND('P &amp; L (group)'!E14/1000000,0)</f>
        <v>0</v>
      </c>
      <c r="H18" s="588"/>
      <c r="I18" s="606" t="e">
        <f t="shared" si="0"/>
        <v>#DIV/0!</v>
      </c>
      <c r="J18" s="588"/>
      <c r="K18" s="587">
        <f>ROUND('P &amp; L (group)'!I14/1000000,0)</f>
        <v>-1230</v>
      </c>
      <c r="L18" s="607"/>
      <c r="M18" s="588">
        <f>ROUND('P &amp; L (group)'!K14/1000000,0)</f>
        <v>-699</v>
      </c>
      <c r="N18" s="607"/>
      <c r="O18" s="606">
        <f t="shared" si="1"/>
        <v>75.965665236051507</v>
      </c>
      <c r="P18" s="624"/>
    </row>
    <row r="19" spans="2:16" s="589" customFormat="1" ht="19.5" customHeight="1">
      <c r="B19" s="625"/>
      <c r="C19" s="639" t="s">
        <v>82</v>
      </c>
      <c r="D19" s="639"/>
      <c r="E19" s="640">
        <f>E17-E18</f>
        <v>0</v>
      </c>
      <c r="F19" s="641"/>
      <c r="G19" s="641">
        <f>G17-G18</f>
        <v>0</v>
      </c>
      <c r="H19" s="641"/>
      <c r="I19" s="642" t="e">
        <f t="shared" si="0"/>
        <v>#DIV/0!</v>
      </c>
      <c r="J19" s="641"/>
      <c r="K19" s="640">
        <f>K17-K18</f>
        <v>-11550</v>
      </c>
      <c r="L19" s="641"/>
      <c r="M19" s="641">
        <f>M17-M18</f>
        <v>-9806</v>
      </c>
      <c r="N19" s="641"/>
      <c r="O19" s="642">
        <f t="shared" si="1"/>
        <v>17.785029573730359</v>
      </c>
      <c r="P19" s="626"/>
    </row>
    <row r="20" spans="2:16" s="589" customFormat="1" ht="19.5" customHeight="1">
      <c r="B20" s="625"/>
      <c r="C20" s="570" t="s">
        <v>83</v>
      </c>
      <c r="D20" s="570"/>
      <c r="E20" s="590"/>
      <c r="F20" s="591"/>
      <c r="G20" s="591"/>
      <c r="H20" s="591"/>
      <c r="I20" s="586"/>
      <c r="J20" s="591"/>
      <c r="K20" s="590"/>
      <c r="L20" s="591"/>
      <c r="M20" s="591"/>
      <c r="N20" s="591"/>
      <c r="O20" s="586"/>
      <c r="P20" s="626"/>
    </row>
    <row r="21" spans="2:16" s="566" customFormat="1" ht="19.5" customHeight="1">
      <c r="B21" s="623"/>
      <c r="C21" s="650" t="s">
        <v>158</v>
      </c>
      <c r="D21" s="650"/>
      <c r="E21" s="651">
        <f>ROUND('P &amp; L (group)'!C17/1000000,0)</f>
        <v>0</v>
      </c>
      <c r="F21" s="652"/>
      <c r="G21" s="652">
        <f>ROUND('P &amp; L (group)'!E17/1000000,0)</f>
        <v>0</v>
      </c>
      <c r="H21" s="652"/>
      <c r="I21" s="653" t="e">
        <f t="shared" ref="I21:I26" si="2">(E21/G21-1)*100</f>
        <v>#DIV/0!</v>
      </c>
      <c r="J21" s="652"/>
      <c r="K21" s="651">
        <f>ROUND('P &amp; L (group)'!I17/1000000,0)</f>
        <v>-1522</v>
      </c>
      <c r="L21" s="652"/>
      <c r="M21" s="652">
        <f>ROUND('P &amp; L (group)'!K17/1000000,0)</f>
        <v>-1123</v>
      </c>
      <c r="N21" s="652"/>
      <c r="O21" s="653">
        <f t="shared" ref="O21:O26" si="3">(K21/M21-1)*100</f>
        <v>35.529830810329479</v>
      </c>
      <c r="P21" s="624"/>
    </row>
    <row r="22" spans="2:16" s="569" customFormat="1" ht="19.5" customHeight="1">
      <c r="B22" s="627"/>
      <c r="C22" s="648" t="s">
        <v>154</v>
      </c>
      <c r="D22" s="648"/>
      <c r="E22" s="644">
        <f>ROUND('P &amp; L (group)'!C18/1000000,0)</f>
        <v>0</v>
      </c>
      <c r="F22" s="645"/>
      <c r="G22" s="645">
        <f>ROUND('P &amp; L (group)'!E18/1000000,0)</f>
        <v>0</v>
      </c>
      <c r="H22" s="645"/>
      <c r="I22" s="646" t="e">
        <f t="shared" si="2"/>
        <v>#DIV/0!</v>
      </c>
      <c r="J22" s="645"/>
      <c r="K22" s="644">
        <f>ROUND('P &amp; L (group)'!I18/1000000,0)</f>
        <v>-260</v>
      </c>
      <c r="L22" s="649"/>
      <c r="M22" s="645">
        <f>ROUND('P &amp; L (group)'!K18/1000000,0)</f>
        <v>-243</v>
      </c>
      <c r="N22" s="649"/>
      <c r="O22" s="646">
        <f t="shared" si="3"/>
        <v>6.9958847736625529</v>
      </c>
      <c r="P22" s="628"/>
    </row>
    <row r="23" spans="2:16" s="569" customFormat="1" ht="19.5" customHeight="1">
      <c r="B23" s="627"/>
      <c r="C23" s="648" t="s">
        <v>84</v>
      </c>
      <c r="D23" s="648"/>
      <c r="E23" s="644">
        <f>ROUND('P &amp; L (group)'!C19/1000000,0)</f>
        <v>0</v>
      </c>
      <c r="F23" s="645"/>
      <c r="G23" s="645">
        <f>ROUND('P &amp; L (group)'!E19/1000000,0)</f>
        <v>0</v>
      </c>
      <c r="H23" s="645"/>
      <c r="I23" s="646" t="e">
        <f t="shared" si="2"/>
        <v>#DIV/0!</v>
      </c>
      <c r="J23" s="645"/>
      <c r="K23" s="644">
        <f>ROUND('P &amp; L (group)'!I19/1000000,0)</f>
        <v>-20</v>
      </c>
      <c r="L23" s="649"/>
      <c r="M23" s="645">
        <f>ROUND('P &amp; L (group)'!K19/1000000,0)</f>
        <v>-18</v>
      </c>
      <c r="N23" s="649"/>
      <c r="O23" s="646">
        <f>(K23/M23-1)*100</f>
        <v>11.111111111111116</v>
      </c>
      <c r="P23" s="628"/>
    </row>
    <row r="24" spans="2:16" s="569" customFormat="1" ht="19.5" customHeight="1">
      <c r="B24" s="627"/>
      <c r="C24" s="648" t="s">
        <v>155</v>
      </c>
      <c r="D24" s="648"/>
      <c r="E24" s="644">
        <f>ROUND('P &amp; L (group)'!C20/1000000,0)</f>
        <v>0</v>
      </c>
      <c r="F24" s="645"/>
      <c r="G24" s="645">
        <f>ROUND('P &amp; L (group)'!E20/1000000,0)</f>
        <v>0</v>
      </c>
      <c r="H24" s="645"/>
      <c r="I24" s="646" t="e">
        <f t="shared" si="2"/>
        <v>#DIV/0!</v>
      </c>
      <c r="J24" s="645"/>
      <c r="K24" s="644">
        <f>ROUND('P &amp; L (group)'!I20/1000000,0)</f>
        <v>-2597</v>
      </c>
      <c r="L24" s="649"/>
      <c r="M24" s="645">
        <f>ROUND('P &amp; L (group)'!K20/1000000,0)</f>
        <v>-1939</v>
      </c>
      <c r="N24" s="649"/>
      <c r="O24" s="646">
        <f t="shared" si="3"/>
        <v>33.935018050541508</v>
      </c>
      <c r="P24" s="628"/>
    </row>
    <row r="25" spans="2:16" s="566" customFormat="1" ht="19.5" customHeight="1">
      <c r="B25" s="623"/>
      <c r="C25" s="573" t="s">
        <v>85</v>
      </c>
      <c r="D25" s="573"/>
      <c r="E25" s="584">
        <f>ROUND('P &amp; L (group)'!C21/1000000,0)</f>
        <v>0</v>
      </c>
      <c r="F25" s="585"/>
      <c r="G25" s="585">
        <f>ROUND('P &amp; L (group)'!E21/1000000,0)</f>
        <v>0</v>
      </c>
      <c r="H25" s="585"/>
      <c r="I25" s="586" t="e">
        <f t="shared" si="2"/>
        <v>#DIV/0!</v>
      </c>
      <c r="J25" s="585"/>
      <c r="K25" s="584">
        <f>ROUND('P &amp; L (group)'!I21/1000000,0)</f>
        <v>-1919</v>
      </c>
      <c r="L25" s="585"/>
      <c r="M25" s="585">
        <f>ROUND('P &amp; L (group)'!K21/1000000,0)</f>
        <v>-1658</v>
      </c>
      <c r="N25" s="585"/>
      <c r="O25" s="586">
        <f t="shared" si="3"/>
        <v>15.741857659831116</v>
      </c>
      <c r="P25" s="624"/>
    </row>
    <row r="26" spans="2:16" s="566" customFormat="1" ht="19.5" customHeight="1">
      <c r="B26" s="623"/>
      <c r="C26" s="608" t="s">
        <v>86</v>
      </c>
      <c r="D26" s="608"/>
      <c r="E26" s="609">
        <f>E21+E22+E23+E24+E25</f>
        <v>0</v>
      </c>
      <c r="F26" s="610"/>
      <c r="G26" s="610">
        <f>G21+G22+G23+G24+G25</f>
        <v>0</v>
      </c>
      <c r="H26" s="610"/>
      <c r="I26" s="611" t="e">
        <f t="shared" si="2"/>
        <v>#DIV/0!</v>
      </c>
      <c r="J26" s="610"/>
      <c r="K26" s="609">
        <f>K21+K22+K23+K24+K25</f>
        <v>-6318</v>
      </c>
      <c r="L26" s="610"/>
      <c r="M26" s="610">
        <f>M21+M22+M23+M24+M25</f>
        <v>-4981</v>
      </c>
      <c r="N26" s="610"/>
      <c r="O26" s="611">
        <f t="shared" si="3"/>
        <v>26.841999598474196</v>
      </c>
      <c r="P26" s="624"/>
    </row>
    <row r="27" spans="2:16" s="566" customFormat="1" ht="19.5" customHeight="1">
      <c r="B27" s="623"/>
      <c r="C27" s="573"/>
      <c r="D27" s="573"/>
      <c r="E27" s="584"/>
      <c r="F27" s="585"/>
      <c r="G27" s="585"/>
      <c r="H27" s="585"/>
      <c r="I27" s="586"/>
      <c r="J27" s="585"/>
      <c r="K27" s="584"/>
      <c r="L27" s="585"/>
      <c r="M27" s="585"/>
      <c r="N27" s="585"/>
      <c r="O27" s="586"/>
      <c r="P27" s="624"/>
    </row>
    <row r="28" spans="2:16" s="589" customFormat="1" ht="19.5" customHeight="1">
      <c r="B28" s="625"/>
      <c r="C28" s="654" t="s">
        <v>87</v>
      </c>
      <c r="D28" s="654"/>
      <c r="E28" s="655">
        <f>E19-E26</f>
        <v>0</v>
      </c>
      <c r="F28" s="656"/>
      <c r="G28" s="656">
        <f>G19-G26</f>
        <v>0</v>
      </c>
      <c r="H28" s="656"/>
      <c r="I28" s="653" t="e">
        <f>(E28/G28-1)*100</f>
        <v>#DIV/0!</v>
      </c>
      <c r="J28" s="656"/>
      <c r="K28" s="655">
        <f>K19-K26</f>
        <v>-5232</v>
      </c>
      <c r="L28" s="656"/>
      <c r="M28" s="656">
        <f>M19-M26</f>
        <v>-4825</v>
      </c>
      <c r="N28" s="656"/>
      <c r="O28" s="653">
        <f>(K28/M28-1)*100</f>
        <v>8.4352331606217579</v>
      </c>
      <c r="P28" s="626"/>
    </row>
    <row r="29" spans="2:16" s="566" customFormat="1" ht="19.5" customHeight="1">
      <c r="B29" s="623"/>
      <c r="C29" s="605" t="s">
        <v>421</v>
      </c>
      <c r="D29" s="605"/>
      <c r="E29" s="587">
        <f>ROUND('P &amp; L (group)'!C25/1000000,0)</f>
        <v>0</v>
      </c>
      <c r="F29" s="588"/>
      <c r="G29" s="588">
        <f>ROUND('P &amp; L (group)'!E25/1000000,0)</f>
        <v>0</v>
      </c>
      <c r="H29" s="588"/>
      <c r="I29" s="606" t="e">
        <f>(E29/G29-1)*100</f>
        <v>#DIV/0!</v>
      </c>
      <c r="J29" s="588"/>
      <c r="K29" s="587">
        <f>ROUND('P &amp; L (group)'!I25/1000000,0)</f>
        <v>-302</v>
      </c>
      <c r="L29" s="588"/>
      <c r="M29" s="588">
        <f>ROUND('P &amp; L (group)'!K25/1000000,0)</f>
        <v>-288</v>
      </c>
      <c r="N29" s="588"/>
      <c r="O29" s="606">
        <f>(K29/M29-1)*100</f>
        <v>4.861111111111116</v>
      </c>
      <c r="P29" s="624"/>
    </row>
    <row r="30" spans="2:16" s="589" customFormat="1" ht="19.5" customHeight="1">
      <c r="B30" s="625"/>
      <c r="C30" s="639" t="s">
        <v>89</v>
      </c>
      <c r="D30" s="639"/>
      <c r="E30" s="640">
        <f>E28-E29</f>
        <v>0</v>
      </c>
      <c r="F30" s="641"/>
      <c r="G30" s="641">
        <f>G28-G29</f>
        <v>0</v>
      </c>
      <c r="H30" s="641"/>
      <c r="I30" s="642" t="e">
        <f>(E30/G30-1)*100</f>
        <v>#DIV/0!</v>
      </c>
      <c r="J30" s="641"/>
      <c r="K30" s="640">
        <f>K28-K29</f>
        <v>-4930</v>
      </c>
      <c r="L30" s="641"/>
      <c r="M30" s="641">
        <f>M28-M29</f>
        <v>-4537</v>
      </c>
      <c r="N30" s="641"/>
      <c r="O30" s="642">
        <f>(K30/M30-1)*100</f>
        <v>8.6621115274410307</v>
      </c>
      <c r="P30" s="626"/>
    </row>
    <row r="31" spans="2:16" s="589" customFormat="1" ht="19.5" customHeight="1">
      <c r="B31" s="625"/>
      <c r="C31" s="570"/>
      <c r="D31" s="570"/>
      <c r="E31" s="590"/>
      <c r="F31" s="591"/>
      <c r="G31" s="591"/>
      <c r="H31" s="591"/>
      <c r="I31" s="586"/>
      <c r="J31" s="591"/>
      <c r="K31" s="590"/>
      <c r="L31" s="591"/>
      <c r="M31" s="591"/>
      <c r="N31" s="591"/>
      <c r="O31" s="586"/>
      <c r="P31" s="626"/>
    </row>
    <row r="32" spans="2:16" s="566" customFormat="1" ht="19.5" customHeight="1">
      <c r="B32" s="623"/>
      <c r="C32" s="573" t="s">
        <v>90</v>
      </c>
      <c r="D32" s="573"/>
      <c r="E32" s="584">
        <f>ROUND('P &amp; L (group)'!C28/1000000,0)</f>
        <v>0</v>
      </c>
      <c r="F32" s="585"/>
      <c r="G32" s="585">
        <f>ROUND('P &amp; L (group)'!E28/1000000,0)</f>
        <v>0</v>
      </c>
      <c r="H32" s="585"/>
      <c r="I32" s="586" t="e">
        <f>(E32/G32-1)*100</f>
        <v>#DIV/0!</v>
      </c>
      <c r="J32" s="585"/>
      <c r="K32" s="584">
        <f>ROUND('P &amp; L (group)'!I28/1000000,0)</f>
        <v>-1468</v>
      </c>
      <c r="L32" s="585"/>
      <c r="M32" s="585">
        <f>ROUND('P &amp; L (group)'!K28/1000000,0)</f>
        <v>-1429</v>
      </c>
      <c r="N32" s="585"/>
      <c r="O32" s="586">
        <f>(K32/M32-1)*100</f>
        <v>2.7291812456263109</v>
      </c>
      <c r="P32" s="624"/>
    </row>
    <row r="33" spans="2:17" s="589" customFormat="1" ht="19.5" customHeight="1" thickBot="1">
      <c r="B33" s="625"/>
      <c r="C33" s="601" t="s">
        <v>149</v>
      </c>
      <c r="D33" s="601"/>
      <c r="E33" s="602">
        <f>E30-E32</f>
        <v>0</v>
      </c>
      <c r="F33" s="603"/>
      <c r="G33" s="603">
        <f>G30-G32</f>
        <v>0</v>
      </c>
      <c r="H33" s="603"/>
      <c r="I33" s="604" t="e">
        <f>(E33/G33-1)*100</f>
        <v>#DIV/0!</v>
      </c>
      <c r="J33" s="603"/>
      <c r="K33" s="602">
        <f>K30-K32</f>
        <v>-3462</v>
      </c>
      <c r="L33" s="603"/>
      <c r="M33" s="603">
        <f>M30-M32</f>
        <v>-3108</v>
      </c>
      <c r="N33" s="603"/>
      <c r="O33" s="604">
        <f>(K33/M33-1)*100</f>
        <v>11.3899613899614</v>
      </c>
      <c r="P33" s="626"/>
    </row>
    <row r="34" spans="2:17" s="566" customFormat="1" ht="19.5" customHeight="1">
      <c r="B34" s="623"/>
      <c r="C34" s="573"/>
      <c r="D34" s="573"/>
      <c r="E34" s="584"/>
      <c r="F34" s="594"/>
      <c r="G34" s="592"/>
      <c r="H34" s="592"/>
      <c r="I34" s="586"/>
      <c r="J34" s="592"/>
      <c r="K34" s="584"/>
      <c r="L34" s="585"/>
      <c r="M34" s="585"/>
      <c r="N34" s="585"/>
      <c r="O34" s="586"/>
      <c r="P34" s="624"/>
    </row>
    <row r="35" spans="2:17" s="566" customFormat="1" ht="19.5" customHeight="1">
      <c r="B35" s="623"/>
      <c r="C35" s="570" t="s">
        <v>91</v>
      </c>
      <c r="D35" s="570"/>
      <c r="E35" s="590"/>
      <c r="F35" s="591"/>
      <c r="G35" s="591"/>
      <c r="H35" s="591"/>
      <c r="I35" s="591"/>
      <c r="J35" s="591"/>
      <c r="K35" s="590"/>
      <c r="L35" s="591"/>
      <c r="M35" s="591"/>
      <c r="N35" s="585"/>
      <c r="O35" s="658"/>
      <c r="P35" s="624"/>
    </row>
    <row r="36" spans="2:17" s="566" customFormat="1" ht="19.5" customHeight="1">
      <c r="B36" s="623"/>
      <c r="C36" s="643" t="s">
        <v>92</v>
      </c>
      <c r="D36" s="643"/>
      <c r="E36" s="644">
        <f>E33</f>
        <v>0</v>
      </c>
      <c r="F36" s="645"/>
      <c r="G36" s="645">
        <f>G33-G37</f>
        <v>-33</v>
      </c>
      <c r="H36" s="645"/>
      <c r="I36" s="646">
        <f t="shared" ref="I36:I38" si="4">(E36/G36-1)*100</f>
        <v>-100</v>
      </c>
      <c r="J36" s="645"/>
      <c r="K36" s="644">
        <v>1160</v>
      </c>
      <c r="L36" s="645"/>
      <c r="M36" s="645">
        <f>M33-M37</f>
        <v>-3113</v>
      </c>
      <c r="N36" s="645"/>
      <c r="O36" s="646">
        <f t="shared" ref="O36:O38" si="5">(K36/M36-1)*100</f>
        <v>-137.26309026662383</v>
      </c>
      <c r="P36" s="624"/>
    </row>
    <row r="37" spans="2:17" s="566" customFormat="1" ht="19.5" customHeight="1">
      <c r="B37" s="623"/>
      <c r="C37" s="573" t="s">
        <v>450</v>
      </c>
      <c r="D37" s="573"/>
      <c r="E37" s="584">
        <v>0</v>
      </c>
      <c r="F37" s="585"/>
      <c r="G37" s="585">
        <v>33</v>
      </c>
      <c r="H37" s="585"/>
      <c r="I37" s="586">
        <f>(E37/G37-1)*100</f>
        <v>-100</v>
      </c>
      <c r="J37" s="585"/>
      <c r="K37" s="584">
        <v>0</v>
      </c>
      <c r="L37" s="585"/>
      <c r="M37" s="585">
        <v>5</v>
      </c>
      <c r="N37" s="585"/>
      <c r="O37" s="586">
        <f t="shared" si="5"/>
        <v>-100</v>
      </c>
      <c r="P37" s="624"/>
      <c r="Q37" s="566">
        <f>33/4</f>
        <v>8.25</v>
      </c>
    </row>
    <row r="38" spans="2:17" s="566" customFormat="1" ht="19.5" customHeight="1" thickBot="1">
      <c r="B38" s="623"/>
      <c r="C38" s="659"/>
      <c r="D38" s="659"/>
      <c r="E38" s="660">
        <f>E36+E37</f>
        <v>0</v>
      </c>
      <c r="F38" s="661"/>
      <c r="G38" s="661">
        <f>G36+G37</f>
        <v>0</v>
      </c>
      <c r="H38" s="661"/>
      <c r="I38" s="604" t="e">
        <f t="shared" si="4"/>
        <v>#DIV/0!</v>
      </c>
      <c r="J38" s="661"/>
      <c r="K38" s="660">
        <v>1160</v>
      </c>
      <c r="L38" s="661"/>
      <c r="M38" s="661">
        <f>M36+M37</f>
        <v>-3108</v>
      </c>
      <c r="N38" s="661"/>
      <c r="O38" s="604">
        <f t="shared" si="5"/>
        <v>-137.32303732303731</v>
      </c>
      <c r="P38" s="624"/>
    </row>
    <row r="39" spans="2:17" s="566" customFormat="1" ht="19.5" customHeight="1">
      <c r="B39" s="623"/>
      <c r="C39" s="570" t="s">
        <v>358</v>
      </c>
      <c r="D39" s="573"/>
      <c r="E39" s="584"/>
      <c r="F39" s="585"/>
      <c r="G39" s="585"/>
      <c r="H39" s="585"/>
      <c r="I39" s="586"/>
      <c r="J39" s="585"/>
      <c r="K39" s="584"/>
      <c r="L39" s="585"/>
      <c r="M39" s="585"/>
      <c r="N39" s="585"/>
      <c r="O39" s="586"/>
      <c r="P39" s="624"/>
    </row>
    <row r="40" spans="2:17" s="566" customFormat="1" ht="19.5" customHeight="1">
      <c r="B40" s="623"/>
      <c r="C40" s="643" t="s">
        <v>458</v>
      </c>
      <c r="D40" s="643"/>
      <c r="E40" s="674">
        <f>E38/(1579862482/1000000)</f>
        <v>0</v>
      </c>
      <c r="F40" s="675"/>
      <c r="G40" s="675">
        <f>G38/(1579862482/1000000)</f>
        <v>0</v>
      </c>
      <c r="H40" s="675" t="e">
        <v>#REF!</v>
      </c>
      <c r="I40" s="646" t="e">
        <f>(E40/G40-1)*100</f>
        <v>#DIV/0!</v>
      </c>
      <c r="J40" s="675" t="e">
        <v>#REF!</v>
      </c>
      <c r="K40" s="674">
        <f>K38/(1579862482/1000000)</f>
        <v>0.73424112112056594</v>
      </c>
      <c r="L40" s="675"/>
      <c r="M40" s="675">
        <f>M38/(1579862482/1000000)</f>
        <v>-1.9672598314161371</v>
      </c>
      <c r="N40" s="677"/>
      <c r="O40" s="646">
        <f>(K40/M40-1)*100</f>
        <v>-137.32303732303731</v>
      </c>
      <c r="P40" s="624"/>
    </row>
    <row r="41" spans="2:17" s="566" customFormat="1" ht="8.25" customHeight="1" thickBot="1">
      <c r="B41" s="623"/>
      <c r="C41" s="573"/>
      <c r="D41" s="573"/>
      <c r="E41" s="598"/>
      <c r="F41" s="595"/>
      <c r="G41" s="595"/>
      <c r="H41" s="595"/>
      <c r="I41" s="586"/>
      <c r="J41" s="595"/>
      <c r="K41" s="598"/>
      <c r="L41" s="595"/>
      <c r="M41" s="595"/>
      <c r="N41" s="597"/>
      <c r="O41" s="586"/>
      <c r="P41" s="624"/>
    </row>
    <row r="42" spans="2:17" s="599" customFormat="1" ht="19.5" customHeight="1">
      <c r="B42" s="629"/>
      <c r="C42" s="600"/>
      <c r="D42" s="600"/>
      <c r="E42" s="630"/>
      <c r="F42" s="600"/>
      <c r="G42" s="600"/>
      <c r="H42" s="600"/>
      <c r="I42" s="600"/>
      <c r="J42" s="600"/>
      <c r="K42" s="631"/>
      <c r="L42" s="631" t="e">
        <v>#REF!</v>
      </c>
      <c r="M42" s="631"/>
      <c r="N42" s="631"/>
      <c r="O42" s="600"/>
      <c r="P42" s="632"/>
    </row>
    <row r="43" spans="2:17" s="566" customFormat="1" ht="19.5" customHeight="1">
      <c r="B43" s="623"/>
      <c r="C43" s="573" t="s">
        <v>146</v>
      </c>
      <c r="D43" s="573"/>
      <c r="E43" s="633"/>
      <c r="F43" s="633"/>
      <c r="G43" s="633"/>
      <c r="H43" s="633"/>
      <c r="I43" s="633"/>
      <c r="J43" s="633"/>
      <c r="K43" s="634"/>
      <c r="L43" s="593"/>
      <c r="M43" s="634"/>
      <c r="N43" s="634"/>
      <c r="O43" s="573"/>
      <c r="P43" s="624"/>
    </row>
    <row r="44" spans="2:17" s="566" customFormat="1" ht="19.5" customHeight="1">
      <c r="B44" s="623"/>
      <c r="C44" s="573" t="s">
        <v>177</v>
      </c>
      <c r="D44" s="573"/>
      <c r="E44" s="585"/>
      <c r="F44" s="573"/>
      <c r="G44" s="573"/>
      <c r="H44" s="573"/>
      <c r="I44" s="573"/>
      <c r="J44" s="573"/>
      <c r="K44" s="593"/>
      <c r="L44" s="593"/>
      <c r="M44" s="634"/>
      <c r="N44" s="634"/>
      <c r="O44" s="573"/>
      <c r="P44" s="624"/>
    </row>
    <row r="45" spans="2:17" s="566" customFormat="1" ht="16.5" thickBot="1">
      <c r="B45" s="662"/>
      <c r="C45" s="583"/>
      <c r="D45" s="583"/>
      <c r="E45" s="663"/>
      <c r="F45" s="583"/>
      <c r="G45" s="583"/>
      <c r="H45" s="583"/>
      <c r="I45" s="583"/>
      <c r="J45" s="583"/>
      <c r="K45" s="664"/>
      <c r="L45" s="664"/>
      <c r="M45" s="664"/>
      <c r="N45" s="664"/>
      <c r="O45" s="583"/>
      <c r="P45" s="665"/>
    </row>
  </sheetData>
  <mergeCells count="4">
    <mergeCell ref="E7:I7"/>
    <mergeCell ref="K7:M7"/>
    <mergeCell ref="B1:P1"/>
    <mergeCell ref="B3:P3"/>
  </mergeCells>
  <pageMargins left="0.5" right="0.49" top="0.75" bottom="0.75" header="0.3" footer="0.3"/>
  <pageSetup paperSize="9" scale="72" orientation="portrait" r:id="rId1"/>
  <headerFooter>
    <oddFooter>&amp;C&amp;"Times New Roman,Regular"&amp;12 3</oddFooter>
  </headerFooter>
</worksheet>
</file>

<file path=xl/worksheets/sheet11.xml><?xml version="1.0" encoding="utf-8"?>
<worksheet xmlns="http://schemas.openxmlformats.org/spreadsheetml/2006/main" xmlns:r="http://schemas.openxmlformats.org/officeDocument/2006/relationships">
  <sheetPr>
    <tabColor rgb="FFFF0000"/>
    <pageSetUpPr fitToPage="1"/>
  </sheetPr>
  <dimension ref="B1:P24"/>
  <sheetViews>
    <sheetView view="pageBreakPreview" topLeftCell="A10" zoomScale="85" zoomScaleSheetLayoutView="85" workbookViewId="0">
      <selection activeCell="B1" sqref="B1:P1"/>
    </sheetView>
  </sheetViews>
  <sheetFormatPr defaultColWidth="9.140625" defaultRowHeight="15.75"/>
  <cols>
    <col min="1" max="1" width="9.140625" style="9"/>
    <col min="2" max="2" width="1.85546875" style="9" customWidth="1"/>
    <col min="3" max="3" width="58.28515625" style="9" customWidth="1"/>
    <col min="4" max="4" width="1.28515625" style="9" customWidth="1"/>
    <col min="5" max="5" width="15" style="9" bestFit="1" customWidth="1"/>
    <col min="6" max="6" width="0.85546875" style="9" customWidth="1"/>
    <col min="7" max="7" width="12.28515625" style="9" customWidth="1"/>
    <col min="8" max="8" width="1" style="9" customWidth="1"/>
    <col min="9" max="9" width="10.140625" style="9" customWidth="1"/>
    <col min="10" max="10" width="0.85546875" style="9" customWidth="1"/>
    <col min="11" max="11" width="15" style="9" bestFit="1" customWidth="1"/>
    <col min="12" max="12" width="0.85546875" style="9" customWidth="1"/>
    <col min="13" max="13" width="14.28515625" style="9" customWidth="1"/>
    <col min="14" max="14" width="0.85546875" style="9" customWidth="1"/>
    <col min="15" max="15" width="9.5703125" style="9" customWidth="1"/>
    <col min="16" max="16" width="1.7109375" style="9" customWidth="1"/>
    <col min="17" max="16384" width="9.140625" style="9"/>
  </cols>
  <sheetData>
    <row r="1" spans="2:16" ht="78" customHeight="1">
      <c r="B1" s="1737" t="s">
        <v>517</v>
      </c>
      <c r="C1" s="1737"/>
      <c r="D1" s="1737"/>
      <c r="E1" s="1737"/>
      <c r="F1" s="1737"/>
      <c r="G1" s="1737"/>
      <c r="H1" s="1737"/>
      <c r="I1" s="1737"/>
      <c r="J1" s="1737"/>
      <c r="K1" s="1737"/>
      <c r="L1" s="1737"/>
      <c r="M1" s="1737"/>
      <c r="N1" s="1737"/>
      <c r="O1" s="1737"/>
      <c r="P1" s="1737"/>
    </row>
    <row r="2" spans="2:16" ht="15.75" customHeight="1">
      <c r="C2" s="10"/>
      <c r="D2" s="10"/>
      <c r="E2" s="10"/>
      <c r="F2" s="10"/>
      <c r="G2" s="10"/>
      <c r="H2" s="10"/>
      <c r="I2" s="10"/>
      <c r="J2" s="10"/>
      <c r="K2" s="10"/>
      <c r="L2" s="10"/>
      <c r="M2" s="10"/>
    </row>
    <row r="3" spans="2:16" ht="18.75">
      <c r="B3" s="1738" t="s">
        <v>355</v>
      </c>
      <c r="C3" s="1709"/>
      <c r="D3" s="1709"/>
      <c r="E3" s="1709"/>
      <c r="F3" s="1709"/>
      <c r="G3" s="1709"/>
      <c r="H3" s="1709"/>
      <c r="I3" s="1709"/>
      <c r="J3" s="1709"/>
      <c r="K3" s="1709"/>
      <c r="L3" s="1709"/>
      <c r="M3" s="1709"/>
      <c r="N3" s="1709"/>
      <c r="O3" s="1709"/>
      <c r="P3" s="1709"/>
    </row>
    <row r="4" spans="2:16" ht="15.75" customHeight="1" thickBot="1">
      <c r="C4" s="10"/>
      <c r="D4" s="10"/>
      <c r="E4" s="10"/>
      <c r="F4" s="10"/>
      <c r="G4" s="10"/>
      <c r="H4" s="10"/>
      <c r="I4" s="10"/>
      <c r="J4" s="10"/>
      <c r="K4" s="10"/>
      <c r="L4" s="10"/>
      <c r="M4" s="10"/>
    </row>
    <row r="5" spans="2:16" s="566" customFormat="1" ht="15.75" customHeight="1">
      <c r="B5" s="619"/>
      <c r="C5" s="713"/>
      <c r="D5" s="713"/>
      <c r="E5" s="713"/>
      <c r="F5" s="713"/>
      <c r="G5" s="713"/>
      <c r="H5" s="713"/>
      <c r="I5" s="713"/>
      <c r="J5" s="713"/>
      <c r="K5" s="713"/>
      <c r="L5" s="713"/>
      <c r="M5" s="713"/>
      <c r="N5" s="713"/>
      <c r="O5" s="713"/>
      <c r="P5" s="714"/>
    </row>
    <row r="6" spans="2:16" s="566" customFormat="1" ht="17.25" thickBot="1">
      <c r="B6" s="623"/>
      <c r="C6" s="570"/>
      <c r="D6" s="570"/>
      <c r="E6" s="1712" t="s">
        <v>407</v>
      </c>
      <c r="F6" s="1712"/>
      <c r="G6" s="1712"/>
      <c r="H6" s="1712"/>
      <c r="I6" s="1712"/>
      <c r="J6" s="571"/>
      <c r="K6" s="1712" t="s">
        <v>351</v>
      </c>
      <c r="L6" s="1712"/>
      <c r="M6" s="1712"/>
      <c r="N6" s="1712"/>
      <c r="O6" s="1712"/>
      <c r="P6" s="624"/>
    </row>
    <row r="7" spans="2:16" s="566" customFormat="1" ht="16.5">
      <c r="B7" s="623"/>
      <c r="C7" s="570"/>
      <c r="D7" s="570"/>
      <c r="E7" s="574" t="str">
        <f>'P &amp; L company'!E8</f>
        <v>30.09.2014</v>
      </c>
      <c r="F7" s="678"/>
      <c r="G7" s="678" t="str">
        <f>'P &amp; L company'!G8</f>
        <v>30.09.2013</v>
      </c>
      <c r="H7" s="678"/>
      <c r="I7" s="679" t="s">
        <v>391</v>
      </c>
      <c r="J7" s="679"/>
      <c r="K7" s="574" t="str">
        <f>E7</f>
        <v>30.09.2014</v>
      </c>
      <c r="L7" s="678"/>
      <c r="M7" s="678" t="str">
        <f>G7</f>
        <v>30.09.2013</v>
      </c>
      <c r="N7" s="570"/>
      <c r="O7" s="679" t="s">
        <v>391</v>
      </c>
      <c r="P7" s="624"/>
    </row>
    <row r="8" spans="2:16" s="566" customFormat="1" ht="16.5">
      <c r="B8" s="623"/>
      <c r="C8" s="570"/>
      <c r="D8" s="570"/>
      <c r="E8" s="577" t="s">
        <v>150</v>
      </c>
      <c r="F8" s="678"/>
      <c r="G8" s="678" t="s">
        <v>150</v>
      </c>
      <c r="H8" s="678"/>
      <c r="I8" s="679" t="s">
        <v>28</v>
      </c>
      <c r="J8" s="679"/>
      <c r="K8" s="577" t="s">
        <v>150</v>
      </c>
      <c r="L8" s="678"/>
      <c r="M8" s="678" t="s">
        <v>150</v>
      </c>
      <c r="N8" s="570"/>
      <c r="O8" s="679" t="s">
        <v>28</v>
      </c>
      <c r="P8" s="624"/>
    </row>
    <row r="9" spans="2:16" s="566" customFormat="1" ht="17.25" thickBot="1">
      <c r="B9" s="623"/>
      <c r="C9" s="578"/>
      <c r="D9" s="578"/>
      <c r="E9" s="579" t="str">
        <f>'P &amp; L company'!E10</f>
        <v>Unaudited</v>
      </c>
      <c r="F9" s="581"/>
      <c r="G9" s="581" t="str">
        <f>'P &amp; L company'!G10</f>
        <v>Audited</v>
      </c>
      <c r="H9" s="581"/>
      <c r="I9" s="680"/>
      <c r="J9" s="680"/>
      <c r="K9" s="579" t="s">
        <v>148</v>
      </c>
      <c r="L9" s="581"/>
      <c r="M9" s="581" t="s">
        <v>148</v>
      </c>
      <c r="N9" s="578"/>
      <c r="O9" s="583"/>
      <c r="P9" s="624"/>
    </row>
    <row r="10" spans="2:16" s="566" customFormat="1" ht="19.5" customHeight="1">
      <c r="B10" s="623"/>
      <c r="C10" s="573"/>
      <c r="D10" s="573"/>
      <c r="E10" s="681"/>
      <c r="F10" s="573"/>
      <c r="G10" s="573"/>
      <c r="H10" s="573"/>
      <c r="I10" s="573"/>
      <c r="J10" s="573"/>
      <c r="K10" s="681"/>
      <c r="L10" s="573"/>
      <c r="M10" s="573"/>
      <c r="N10" s="573"/>
      <c r="O10" s="573"/>
      <c r="P10" s="624"/>
    </row>
    <row r="11" spans="2:16" s="589" customFormat="1" ht="19.5" customHeight="1">
      <c r="B11" s="625"/>
      <c r="C11" s="654" t="s">
        <v>157</v>
      </c>
      <c r="D11" s="654"/>
      <c r="E11" s="702">
        <f>'P &amp; L company'!E31</f>
        <v>0</v>
      </c>
      <c r="F11" s="703"/>
      <c r="G11" s="703">
        <f>'P &amp; L company'!G31</f>
        <v>0</v>
      </c>
      <c r="H11" s="703"/>
      <c r="I11" s="653" t="e">
        <f>(E11/G11-1)*100</f>
        <v>#DIV/0!</v>
      </c>
      <c r="J11" s="704"/>
      <c r="K11" s="655">
        <f>'P &amp; L company'!K31</f>
        <v>-3125</v>
      </c>
      <c r="L11" s="704"/>
      <c r="M11" s="704">
        <f>'P &amp; L company'!M31</f>
        <v>-2849</v>
      </c>
      <c r="N11" s="654"/>
      <c r="O11" s="653">
        <f>(K11/M11-1)*100</f>
        <v>9.6876096876096884</v>
      </c>
      <c r="P11" s="626"/>
    </row>
    <row r="12" spans="2:16" s="566" customFormat="1" ht="19.5" customHeight="1">
      <c r="B12" s="623"/>
      <c r="C12" s="573"/>
      <c r="D12" s="573"/>
      <c r="E12" s="684"/>
      <c r="F12" s="685"/>
      <c r="G12" s="685"/>
      <c r="H12" s="685"/>
      <c r="I12" s="586"/>
      <c r="J12" s="573"/>
      <c r="K12" s="590"/>
      <c r="L12" s="683"/>
      <c r="M12" s="683"/>
      <c r="N12" s="573"/>
      <c r="O12" s="586"/>
      <c r="P12" s="624"/>
    </row>
    <row r="13" spans="2:16" s="589" customFormat="1" ht="19.5" customHeight="1">
      <c r="B13" s="625"/>
      <c r="C13" s="654" t="s">
        <v>519</v>
      </c>
      <c r="D13" s="654"/>
      <c r="E13" s="702"/>
      <c r="F13" s="703"/>
      <c r="G13" s="703"/>
      <c r="H13" s="703"/>
      <c r="I13" s="653"/>
      <c r="J13" s="654"/>
      <c r="K13" s="655"/>
      <c r="L13" s="704"/>
      <c r="M13" s="704"/>
      <c r="N13" s="654"/>
      <c r="O13" s="653"/>
      <c r="P13" s="626"/>
    </row>
    <row r="14" spans="2:16" s="589" customFormat="1" ht="19.5" customHeight="1">
      <c r="B14" s="625"/>
      <c r="C14" s="643" t="s">
        <v>434</v>
      </c>
      <c r="D14" s="643"/>
      <c r="E14" s="705">
        <f>ROUND('Compreh. Income (C)'!B11/1000000,0)</f>
        <v>0</v>
      </c>
      <c r="F14" s="706"/>
      <c r="G14" s="649">
        <f>ROUND('Compreh. Income (C)'!D11/1000000,0)</f>
        <v>0</v>
      </c>
      <c r="H14" s="706"/>
      <c r="I14" s="646">
        <v>0</v>
      </c>
      <c r="J14" s="647"/>
      <c r="K14" s="705">
        <f>ROUND('Compreh. Income (C)'!H11/1000000,0)</f>
        <v>57</v>
      </c>
      <c r="L14" s="707"/>
      <c r="M14" s="649">
        <f>ROUND('Compreh. Income (C)'!J11/1000000,0)</f>
        <v>0</v>
      </c>
      <c r="N14" s="647"/>
      <c r="O14" s="646">
        <v>0</v>
      </c>
      <c r="P14" s="626"/>
    </row>
    <row r="15" spans="2:16" s="589" customFormat="1" ht="19.5" customHeight="1">
      <c r="B15" s="625"/>
      <c r="C15" s="643" t="s">
        <v>435</v>
      </c>
      <c r="D15" s="643"/>
      <c r="E15" s="705">
        <f>ROUND('Compreh. Income (C)'!B12/1000000,0)</f>
        <v>0</v>
      </c>
      <c r="F15" s="706"/>
      <c r="G15" s="649">
        <f>ROUND('Compreh. Income (C)'!D12/1000000,0)</f>
        <v>0</v>
      </c>
      <c r="H15" s="706"/>
      <c r="I15" s="646">
        <v>0</v>
      </c>
      <c r="J15" s="647"/>
      <c r="K15" s="705">
        <f>ROUND('Compreh. Income (C)'!H12/1000000,0)</f>
        <v>-1</v>
      </c>
      <c r="L15" s="707"/>
      <c r="M15" s="649">
        <f>ROUND('Compreh. Income (C)'!J12/1000000,0)</f>
        <v>0</v>
      </c>
      <c r="N15" s="647"/>
      <c r="O15" s="646">
        <v>0</v>
      </c>
      <c r="P15" s="626"/>
    </row>
    <row r="16" spans="2:16" s="686" customFormat="1" ht="33" customHeight="1">
      <c r="B16" s="715"/>
      <c r="C16" s="708" t="s">
        <v>162</v>
      </c>
      <c r="D16" s="708"/>
      <c r="E16" s="705">
        <f>ROUND('Compreh. Income (C)'!B13/1000000,0)</f>
        <v>0</v>
      </c>
      <c r="F16" s="709"/>
      <c r="G16" s="649">
        <f>ROUND('Compreh. Income (C)'!D13/1000000,0)</f>
        <v>0</v>
      </c>
      <c r="H16" s="709"/>
      <c r="I16" s="646" t="e">
        <f>(E16/G16-1)*100</f>
        <v>#DIV/0!</v>
      </c>
      <c r="J16" s="710"/>
      <c r="K16" s="705">
        <f>ROUND('Compreh. Income (C)'!H13/1000000,0)</f>
        <v>-65</v>
      </c>
      <c r="L16" s="711"/>
      <c r="M16" s="649">
        <f>ROUND('Compreh. Income (C)'!J13/1000000,0)</f>
        <v>30</v>
      </c>
      <c r="N16" s="712"/>
      <c r="O16" s="646">
        <f>(K16/M16-1)*100</f>
        <v>-316.66666666666663</v>
      </c>
      <c r="P16" s="716"/>
    </row>
    <row r="17" spans="2:16" s="566" customFormat="1" ht="32.25" customHeight="1">
      <c r="B17" s="623"/>
      <c r="C17" s="687" t="s">
        <v>93</v>
      </c>
      <c r="D17" s="687"/>
      <c r="E17" s="684">
        <f>ROUND('Compreh. Income (C)'!B14/1000000,0)</f>
        <v>0</v>
      </c>
      <c r="F17" s="685"/>
      <c r="G17" s="592">
        <f>ROUND('Compreh. Income (C)'!D14/1000000,0)</f>
        <v>0</v>
      </c>
      <c r="H17" s="688"/>
      <c r="I17" s="586">
        <v>0</v>
      </c>
      <c r="J17" s="594"/>
      <c r="K17" s="684">
        <f>ROUND('Compreh. Income (C)'!H14/1000000,0)</f>
        <v>-16</v>
      </c>
      <c r="L17" s="683"/>
      <c r="M17" s="592">
        <f>ROUND('Compreh. Income (C)'!J14/1000000,0)</f>
        <v>0</v>
      </c>
      <c r="N17" s="573"/>
      <c r="O17" s="586">
        <v>0</v>
      </c>
      <c r="P17" s="624"/>
    </row>
    <row r="18" spans="2:16" s="589" customFormat="1" ht="19.5" customHeight="1">
      <c r="B18" s="625"/>
      <c r="C18" s="699" t="s">
        <v>161</v>
      </c>
      <c r="D18" s="699"/>
      <c r="E18" s="689">
        <f>E14+E15+E16-E17</f>
        <v>0</v>
      </c>
      <c r="F18" s="700"/>
      <c r="G18" s="690">
        <f>G14+G15+G16-G17</f>
        <v>0</v>
      </c>
      <c r="H18" s="700"/>
      <c r="I18" s="611" t="e">
        <f>(E18/G18-1)*100</f>
        <v>#DIV/0!</v>
      </c>
      <c r="J18" s="701"/>
      <c r="K18" s="689">
        <f>K14+K15+K16-K17</f>
        <v>7</v>
      </c>
      <c r="L18" s="701"/>
      <c r="M18" s="690">
        <f>M14+M15+M16-M17</f>
        <v>30</v>
      </c>
      <c r="N18" s="699"/>
      <c r="O18" s="611">
        <f>(K18/M18-1)*100</f>
        <v>-76.666666666666657</v>
      </c>
      <c r="P18" s="626"/>
    </row>
    <row r="19" spans="2:16" s="589" customFormat="1" ht="19.5" customHeight="1" thickBot="1">
      <c r="B19" s="625"/>
      <c r="C19" s="601" t="s">
        <v>159</v>
      </c>
      <c r="D19" s="601"/>
      <c r="E19" s="691">
        <f>E11+E18</f>
        <v>0</v>
      </c>
      <c r="F19" s="696"/>
      <c r="G19" s="692">
        <f>G11+G18</f>
        <v>0</v>
      </c>
      <c r="H19" s="696"/>
      <c r="I19" s="604" t="e">
        <f>(E19/G19-1)*100</f>
        <v>#DIV/0!</v>
      </c>
      <c r="J19" s="697"/>
      <c r="K19" s="691">
        <f>K11+K18</f>
        <v>-3118</v>
      </c>
      <c r="L19" s="698"/>
      <c r="M19" s="692">
        <f>M11+M18</f>
        <v>-2819</v>
      </c>
      <c r="N19" s="601"/>
      <c r="O19" s="604">
        <f>(K19/M19-1)*100</f>
        <v>10.606598084427098</v>
      </c>
      <c r="P19" s="626"/>
    </row>
    <row r="20" spans="2:16" s="589" customFormat="1" ht="9.75" customHeight="1" thickBot="1">
      <c r="B20" s="625"/>
      <c r="C20" s="570"/>
      <c r="D20" s="570"/>
      <c r="E20" s="694"/>
      <c r="F20" s="682"/>
      <c r="G20" s="682"/>
      <c r="H20" s="682"/>
      <c r="I20" s="586"/>
      <c r="J20" s="693"/>
      <c r="K20" s="695"/>
      <c r="L20" s="683"/>
      <c r="M20" s="683"/>
      <c r="N20" s="570"/>
      <c r="O20" s="586"/>
      <c r="P20" s="626"/>
    </row>
    <row r="21" spans="2:16" s="566" customFormat="1" ht="9" customHeight="1">
      <c r="B21" s="623"/>
      <c r="C21" s="573"/>
      <c r="D21" s="573"/>
      <c r="E21" s="573"/>
      <c r="F21" s="573"/>
      <c r="G21" s="573"/>
      <c r="H21" s="573"/>
      <c r="I21" s="573"/>
      <c r="J21" s="573"/>
      <c r="K21" s="573"/>
      <c r="L21" s="573"/>
      <c r="M21" s="573"/>
      <c r="N21" s="573"/>
      <c r="O21" s="586"/>
      <c r="P21" s="624"/>
    </row>
    <row r="22" spans="2:16" s="566" customFormat="1">
      <c r="B22" s="623"/>
      <c r="C22" s="573" t="s">
        <v>146</v>
      </c>
      <c r="D22" s="573"/>
      <c r="E22" s="573"/>
      <c r="F22" s="573"/>
      <c r="G22" s="573"/>
      <c r="H22" s="573"/>
      <c r="I22" s="573"/>
      <c r="J22" s="573"/>
      <c r="K22" s="573"/>
      <c r="L22" s="573"/>
      <c r="M22" s="573"/>
      <c r="N22" s="573"/>
      <c r="O22" s="573"/>
      <c r="P22" s="624"/>
    </row>
    <row r="23" spans="2:16" s="566" customFormat="1">
      <c r="B23" s="623"/>
      <c r="C23" s="573" t="s">
        <v>177</v>
      </c>
      <c r="D23" s="573"/>
      <c r="E23" s="573"/>
      <c r="F23" s="573"/>
      <c r="G23" s="573"/>
      <c r="H23" s="573"/>
      <c r="I23" s="573"/>
      <c r="J23" s="573"/>
      <c r="K23" s="573"/>
      <c r="L23" s="573"/>
      <c r="M23" s="573"/>
      <c r="N23" s="573"/>
      <c r="O23" s="573"/>
      <c r="P23" s="624"/>
    </row>
    <row r="24" spans="2:16" ht="16.5" thickBot="1">
      <c r="B24" s="635"/>
      <c r="C24" s="17"/>
      <c r="D24" s="17"/>
      <c r="E24" s="17"/>
      <c r="F24" s="17"/>
      <c r="G24" s="17"/>
      <c r="H24" s="17"/>
      <c r="I24" s="17"/>
      <c r="J24" s="17"/>
      <c r="K24" s="17"/>
      <c r="L24" s="17"/>
      <c r="M24" s="17"/>
      <c r="N24" s="17"/>
      <c r="O24" s="17"/>
      <c r="P24" s="638"/>
    </row>
  </sheetData>
  <mergeCells count="4">
    <mergeCell ref="E6:I6"/>
    <mergeCell ref="K6:O6"/>
    <mergeCell ref="B1:P1"/>
    <mergeCell ref="B3:P3"/>
  </mergeCells>
  <pageMargins left="0.5" right="0.28999999999999998" top="0.75" bottom="0.75" header="0.3" footer="0.3"/>
  <pageSetup paperSize="9" scale="67" orientation="portrait" r:id="rId1"/>
  <headerFooter>
    <oddFooter>&amp;C&amp;"Times New Roman,Regular"&amp;12 4</oddFooter>
  </headerFooter>
</worksheet>
</file>

<file path=xl/worksheets/sheet12.xml><?xml version="1.0" encoding="utf-8"?>
<worksheet xmlns="http://schemas.openxmlformats.org/spreadsheetml/2006/main" xmlns:r="http://schemas.openxmlformats.org/officeDocument/2006/relationships">
  <sheetPr>
    <tabColor rgb="FFFF0000"/>
  </sheetPr>
  <dimension ref="B1:R23"/>
  <sheetViews>
    <sheetView view="pageBreakPreview" topLeftCell="A13" zoomScale="86" zoomScaleSheetLayoutView="86" workbookViewId="0">
      <selection activeCell="B1" sqref="B1:P1"/>
    </sheetView>
  </sheetViews>
  <sheetFormatPr defaultColWidth="9.140625" defaultRowHeight="15.75"/>
  <cols>
    <col min="1" max="1" width="9.140625" style="9"/>
    <col min="2" max="2" width="1.85546875" style="9" customWidth="1"/>
    <col min="3" max="3" width="57.42578125" style="9" customWidth="1"/>
    <col min="4" max="4" width="1.140625" style="9" customWidth="1"/>
    <col min="5" max="5" width="13.85546875" style="9" customWidth="1"/>
    <col min="6" max="6" width="0.85546875" style="9" customWidth="1"/>
    <col min="7" max="7" width="11.7109375" style="9" customWidth="1"/>
    <col min="8" max="8" width="0.85546875" style="9" customWidth="1"/>
    <col min="9" max="9" width="10.42578125" style="9" customWidth="1"/>
    <col min="10" max="10" width="0.85546875" style="9" customWidth="1"/>
    <col min="11" max="11" width="13.7109375" style="9" customWidth="1"/>
    <col min="12" max="12" width="0.85546875" style="9" customWidth="1"/>
    <col min="13" max="13" width="11.7109375" style="9" customWidth="1"/>
    <col min="14" max="14" width="0.85546875" style="9" customWidth="1"/>
    <col min="15" max="15" width="11.140625" style="9" customWidth="1"/>
    <col min="16" max="16" width="1.7109375" style="9" customWidth="1"/>
    <col min="17" max="16384" width="9.140625" style="9"/>
  </cols>
  <sheetData>
    <row r="1" spans="2:16" ht="79.5" customHeight="1">
      <c r="B1" s="1737" t="s">
        <v>517</v>
      </c>
      <c r="C1" s="1737"/>
      <c r="D1" s="1737"/>
      <c r="E1" s="1737"/>
      <c r="F1" s="1737"/>
      <c r="G1" s="1737"/>
      <c r="H1" s="1737"/>
      <c r="I1" s="1737"/>
      <c r="J1" s="1737"/>
      <c r="K1" s="1737"/>
      <c r="L1" s="1737"/>
      <c r="M1" s="1737"/>
      <c r="N1" s="1737"/>
      <c r="O1" s="1737"/>
      <c r="P1" s="1737"/>
    </row>
    <row r="2" spans="2:16">
      <c r="B2" s="460"/>
      <c r="C2" s="460"/>
      <c r="D2" s="460"/>
      <c r="E2" s="460"/>
      <c r="F2" s="460"/>
      <c r="G2" s="460"/>
      <c r="H2" s="460"/>
      <c r="I2" s="460"/>
      <c r="J2" s="460"/>
      <c r="K2" s="460"/>
      <c r="L2" s="460"/>
      <c r="M2" s="460"/>
      <c r="N2" s="460"/>
      <c r="O2" s="460"/>
      <c r="P2" s="460"/>
    </row>
    <row r="3" spans="2:16" ht="18.75">
      <c r="B3" s="1738" t="s">
        <v>356</v>
      </c>
      <c r="C3" s="1709"/>
      <c r="D3" s="1709"/>
      <c r="E3" s="1709"/>
      <c r="F3" s="1709"/>
      <c r="G3" s="1709"/>
      <c r="H3" s="1709"/>
      <c r="I3" s="1709"/>
      <c r="J3" s="1709"/>
      <c r="K3" s="1709"/>
      <c r="L3" s="1709"/>
      <c r="M3" s="1709"/>
      <c r="N3" s="1709"/>
      <c r="O3" s="1709"/>
      <c r="P3" s="1709"/>
    </row>
    <row r="4" spans="2:16" ht="19.5" thickBot="1">
      <c r="B4" s="618"/>
      <c r="C4" s="461"/>
      <c r="D4" s="461"/>
      <c r="E4" s="461"/>
      <c r="F4" s="461"/>
      <c r="G4" s="461"/>
      <c r="H4" s="461"/>
      <c r="I4" s="461"/>
      <c r="J4" s="461"/>
      <c r="K4" s="461"/>
      <c r="L4" s="461"/>
      <c r="M4" s="461"/>
      <c r="N4" s="461"/>
      <c r="O4" s="461"/>
      <c r="P4" s="461"/>
    </row>
    <row r="5" spans="2:16" ht="15.75" customHeight="1">
      <c r="B5" s="717"/>
      <c r="C5" s="718"/>
      <c r="D5" s="718"/>
      <c r="E5" s="718"/>
      <c r="F5" s="718"/>
      <c r="G5" s="718"/>
      <c r="H5" s="718"/>
      <c r="I5" s="718"/>
      <c r="J5" s="718"/>
      <c r="K5" s="718"/>
      <c r="L5" s="718"/>
      <c r="M5" s="718"/>
      <c r="N5" s="718"/>
      <c r="O5" s="718"/>
      <c r="P5" s="719"/>
    </row>
    <row r="6" spans="2:16" s="566" customFormat="1" ht="17.25" thickBot="1">
      <c r="B6" s="623"/>
      <c r="C6" s="570"/>
      <c r="D6" s="570"/>
      <c r="E6" s="1712" t="s">
        <v>407</v>
      </c>
      <c r="F6" s="1712"/>
      <c r="G6" s="1712"/>
      <c r="H6" s="1712"/>
      <c r="I6" s="1712"/>
      <c r="J6" s="571"/>
      <c r="K6" s="1712" t="s">
        <v>351</v>
      </c>
      <c r="L6" s="1712"/>
      <c r="M6" s="1712"/>
      <c r="N6" s="1712"/>
      <c r="O6" s="1712"/>
      <c r="P6" s="720"/>
    </row>
    <row r="7" spans="2:16" s="566" customFormat="1" ht="16.5">
      <c r="B7" s="623"/>
      <c r="C7" s="570"/>
      <c r="D7" s="570"/>
      <c r="E7" s="574" t="str">
        <f>'P &amp; L group'!E8</f>
        <v>30.09.2014</v>
      </c>
      <c r="F7" s="678"/>
      <c r="G7" s="678" t="str">
        <f>'P &amp; L group'!G8</f>
        <v>30.09.2013</v>
      </c>
      <c r="H7" s="678"/>
      <c r="I7" s="679" t="s">
        <v>391</v>
      </c>
      <c r="J7" s="679"/>
      <c r="K7" s="574" t="str">
        <f>E7</f>
        <v>30.09.2014</v>
      </c>
      <c r="L7" s="678"/>
      <c r="M7" s="678" t="str">
        <f>G7</f>
        <v>30.09.2013</v>
      </c>
      <c r="N7" s="570"/>
      <c r="O7" s="679" t="s">
        <v>391</v>
      </c>
      <c r="P7" s="721"/>
    </row>
    <row r="8" spans="2:16" s="566" customFormat="1" ht="16.5">
      <c r="B8" s="623"/>
      <c r="C8" s="570"/>
      <c r="D8" s="570"/>
      <c r="E8" s="577" t="s">
        <v>150</v>
      </c>
      <c r="F8" s="678"/>
      <c r="G8" s="678" t="s">
        <v>150</v>
      </c>
      <c r="H8" s="678"/>
      <c r="I8" s="679" t="s">
        <v>28</v>
      </c>
      <c r="J8" s="679"/>
      <c r="K8" s="577" t="s">
        <v>150</v>
      </c>
      <c r="L8" s="678"/>
      <c r="M8" s="678" t="s">
        <v>150</v>
      </c>
      <c r="N8" s="570"/>
      <c r="O8" s="679" t="s">
        <v>28</v>
      </c>
      <c r="P8" s="721"/>
    </row>
    <row r="9" spans="2:16" s="566" customFormat="1" ht="17.25" thickBot="1">
      <c r="B9" s="623"/>
      <c r="C9" s="578"/>
      <c r="D9" s="578"/>
      <c r="E9" s="579" t="str">
        <f>'P &amp; L group'!E10</f>
        <v>Unaudited</v>
      </c>
      <c r="F9" s="581"/>
      <c r="G9" s="581" t="str">
        <f>'P &amp; L group'!G10</f>
        <v>Audited</v>
      </c>
      <c r="H9" s="581"/>
      <c r="I9" s="680"/>
      <c r="J9" s="680"/>
      <c r="K9" s="579" t="s">
        <v>148</v>
      </c>
      <c r="L9" s="581"/>
      <c r="M9" s="581" t="s">
        <v>148</v>
      </c>
      <c r="N9" s="578"/>
      <c r="O9" s="583"/>
      <c r="P9" s="624"/>
    </row>
    <row r="10" spans="2:16" s="566" customFormat="1" ht="19.5" customHeight="1">
      <c r="B10" s="623"/>
      <c r="C10" s="573"/>
      <c r="D10" s="573"/>
      <c r="E10" s="681"/>
      <c r="F10" s="573"/>
      <c r="G10" s="573"/>
      <c r="H10" s="573"/>
      <c r="I10" s="573"/>
      <c r="J10" s="573"/>
      <c r="K10" s="681"/>
      <c r="L10" s="573"/>
      <c r="M10" s="573"/>
      <c r="N10" s="573"/>
      <c r="O10" s="573"/>
      <c r="P10" s="624"/>
    </row>
    <row r="11" spans="2:16" s="589" customFormat="1" ht="19.5" customHeight="1">
      <c r="B11" s="625"/>
      <c r="C11" s="654" t="s">
        <v>157</v>
      </c>
      <c r="D11" s="654"/>
      <c r="E11" s="702">
        <f>'P &amp; L group'!E33</f>
        <v>0</v>
      </c>
      <c r="F11" s="703"/>
      <c r="G11" s="703">
        <f>'P &amp; L group'!G33</f>
        <v>0</v>
      </c>
      <c r="H11" s="704"/>
      <c r="I11" s="727" t="e">
        <f>(E11/G11-1)*100</f>
        <v>#DIV/0!</v>
      </c>
      <c r="J11" s="704"/>
      <c r="K11" s="702">
        <f>'P &amp; L group'!K33</f>
        <v>-3462</v>
      </c>
      <c r="L11" s="704"/>
      <c r="M11" s="704">
        <f>'P &amp; L group'!M33</f>
        <v>-3108</v>
      </c>
      <c r="N11" s="654"/>
      <c r="O11" s="727">
        <f>(K11/M11-1)*100</f>
        <v>11.3899613899614</v>
      </c>
      <c r="P11" s="723"/>
    </row>
    <row r="12" spans="2:16" s="566" customFormat="1" ht="19.5" customHeight="1">
      <c r="B12" s="623"/>
      <c r="C12" s="573"/>
      <c r="D12" s="573"/>
      <c r="E12" s="684"/>
      <c r="F12" s="685"/>
      <c r="G12" s="685"/>
      <c r="H12" s="573"/>
      <c r="I12" s="722"/>
      <c r="J12" s="573"/>
      <c r="K12" s="684"/>
      <c r="L12" s="683"/>
      <c r="M12" s="683"/>
      <c r="N12" s="573"/>
      <c r="O12" s="722"/>
      <c r="P12" s="723"/>
    </row>
    <row r="13" spans="2:16" s="589" customFormat="1" ht="19.5" customHeight="1">
      <c r="B13" s="625"/>
      <c r="C13" s="654" t="s">
        <v>519</v>
      </c>
      <c r="D13" s="654"/>
      <c r="E13" s="702"/>
      <c r="F13" s="703"/>
      <c r="G13" s="703"/>
      <c r="H13" s="654"/>
      <c r="I13" s="727"/>
      <c r="J13" s="654"/>
      <c r="K13" s="702"/>
      <c r="L13" s="704"/>
      <c r="M13" s="704"/>
      <c r="N13" s="654"/>
      <c r="O13" s="727"/>
      <c r="P13" s="723"/>
    </row>
    <row r="14" spans="2:16" s="589" customFormat="1" ht="19.5" customHeight="1">
      <c r="B14" s="625"/>
      <c r="C14" s="643" t="s">
        <v>434</v>
      </c>
      <c r="D14" s="643"/>
      <c r="E14" s="705">
        <f>ROUND('Compreh. Income (G)'!B11/1000000,0)</f>
        <v>0</v>
      </c>
      <c r="F14" s="706"/>
      <c r="G14" s="649">
        <f>ROUND('Compreh. Income (G)'!D11/1000000,0)</f>
        <v>0</v>
      </c>
      <c r="H14" s="647"/>
      <c r="I14" s="728">
        <v>0</v>
      </c>
      <c r="J14" s="647"/>
      <c r="K14" s="705">
        <f>ROUND('Compreh. Income (G)'!H11/1000000,0)</f>
        <v>58</v>
      </c>
      <c r="L14" s="707"/>
      <c r="M14" s="649">
        <f>ROUND('Compreh. Income (G)'!J11/1000000,0)</f>
        <v>0</v>
      </c>
      <c r="N14" s="647"/>
      <c r="O14" s="728">
        <v>0</v>
      </c>
      <c r="P14" s="723"/>
    </row>
    <row r="15" spans="2:16" s="589" customFormat="1" ht="19.5" customHeight="1">
      <c r="B15" s="625"/>
      <c r="C15" s="643" t="s">
        <v>435</v>
      </c>
      <c r="D15" s="643"/>
      <c r="E15" s="705">
        <f>ROUND('Compreh. Income (G)'!B12/1000000,0)</f>
        <v>0</v>
      </c>
      <c r="F15" s="706"/>
      <c r="G15" s="649">
        <f>ROUND('Compreh. Income (G)'!D12/1000000,0)</f>
        <v>0</v>
      </c>
      <c r="H15" s="647"/>
      <c r="I15" s="728">
        <v>0</v>
      </c>
      <c r="J15" s="647"/>
      <c r="K15" s="705">
        <f>ROUND('Compreh. Income (G)'!H12/1000000,0)</f>
        <v>-1</v>
      </c>
      <c r="L15" s="707"/>
      <c r="M15" s="649">
        <f>ROUND('Compreh. Income (G)'!J12/1000000,0)</f>
        <v>0</v>
      </c>
      <c r="N15" s="647"/>
      <c r="O15" s="728">
        <v>0</v>
      </c>
      <c r="P15" s="723"/>
    </row>
    <row r="16" spans="2:16" s="686" customFormat="1" ht="33" customHeight="1">
      <c r="B16" s="715"/>
      <c r="C16" s="708" t="s">
        <v>162</v>
      </c>
      <c r="D16" s="708"/>
      <c r="E16" s="705">
        <f>ROUND('Compreh. Income (G)'!B13/1000000,0)</f>
        <v>0</v>
      </c>
      <c r="F16" s="709"/>
      <c r="G16" s="649">
        <f>ROUND('Compreh. Income (G)'!D13/1000000,0)</f>
        <v>0</v>
      </c>
      <c r="H16" s="710"/>
      <c r="I16" s="728" t="e">
        <f>(E16/G16-1)*100</f>
        <v>#DIV/0!</v>
      </c>
      <c r="J16" s="710"/>
      <c r="K16" s="705">
        <f>ROUND('Compreh. Income (G)'!H13/1000000,0)</f>
        <v>-67</v>
      </c>
      <c r="L16" s="711"/>
      <c r="M16" s="649">
        <f>ROUND('Compreh. Income (G)'!J13/1000000,0)</f>
        <v>24</v>
      </c>
      <c r="N16" s="712"/>
      <c r="O16" s="728">
        <f>(K16/M16-1)*100</f>
        <v>-379.16666666666663</v>
      </c>
      <c r="P16" s="723"/>
    </row>
    <row r="17" spans="2:18" s="566" customFormat="1" ht="32.25" customHeight="1">
      <c r="B17" s="623"/>
      <c r="C17" s="687" t="s">
        <v>93</v>
      </c>
      <c r="D17" s="687"/>
      <c r="E17" s="684">
        <f>ROUND('Compreh. Income (G)'!B14/1000000,0)</f>
        <v>0</v>
      </c>
      <c r="F17" s="685"/>
      <c r="G17" s="592">
        <f>ROUND('Compreh. Income (G)'!D14/1000000,0)</f>
        <v>0</v>
      </c>
      <c r="H17" s="594"/>
      <c r="I17" s="722" t="e">
        <f>(E17/G17-1)*100</f>
        <v>#DIV/0!</v>
      </c>
      <c r="J17" s="594"/>
      <c r="K17" s="684">
        <f>ROUND('Compreh. Income (G)'!H14/1000000,0)</f>
        <v>17</v>
      </c>
      <c r="L17" s="683"/>
      <c r="M17" s="592">
        <f>ROUND('Compreh. Income (G)'!J14/1000000,0)</f>
        <v>-1</v>
      </c>
      <c r="N17" s="573"/>
      <c r="O17" s="722">
        <f>(K17/M17-1)*100</f>
        <v>-1800</v>
      </c>
      <c r="P17" s="723"/>
    </row>
    <row r="18" spans="2:18" s="589" customFormat="1" ht="19.5" customHeight="1">
      <c r="B18" s="625"/>
      <c r="C18" s="699" t="s">
        <v>161</v>
      </c>
      <c r="D18" s="699"/>
      <c r="E18" s="689">
        <f>E14+E15+E16-E17</f>
        <v>0</v>
      </c>
      <c r="F18" s="700"/>
      <c r="G18" s="690">
        <f>G14+G15+G16-G17</f>
        <v>0</v>
      </c>
      <c r="H18" s="701"/>
      <c r="I18" s="726" t="e">
        <f>(E18/G18-1)*100</f>
        <v>#DIV/0!</v>
      </c>
      <c r="J18" s="701"/>
      <c r="K18" s="689">
        <f>K14+K15+K16-K17</f>
        <v>-27</v>
      </c>
      <c r="L18" s="701"/>
      <c r="M18" s="690">
        <f>M14+M15+M16-M17</f>
        <v>25</v>
      </c>
      <c r="N18" s="699"/>
      <c r="O18" s="726">
        <f>(K18/M18-1)*100</f>
        <v>-208</v>
      </c>
      <c r="P18" s="723"/>
    </row>
    <row r="19" spans="2:18" s="589" customFormat="1" ht="19.5" customHeight="1" thickBot="1">
      <c r="B19" s="625"/>
      <c r="C19" s="601" t="s">
        <v>159</v>
      </c>
      <c r="D19" s="601"/>
      <c r="E19" s="691">
        <f>E11+E18</f>
        <v>0</v>
      </c>
      <c r="F19" s="696"/>
      <c r="G19" s="692">
        <f>G11+G18</f>
        <v>0</v>
      </c>
      <c r="H19" s="697"/>
      <c r="I19" s="725" t="e">
        <f>(E19/G19-1)*100</f>
        <v>#DIV/0!</v>
      </c>
      <c r="J19" s="697"/>
      <c r="K19" s="691">
        <f>K11+K18</f>
        <v>-3489</v>
      </c>
      <c r="L19" s="698"/>
      <c r="M19" s="692">
        <f>M11+M18</f>
        <v>-3083</v>
      </c>
      <c r="N19" s="601"/>
      <c r="O19" s="725">
        <f>(K19/M19-1)*100</f>
        <v>13.168991242296467</v>
      </c>
      <c r="P19" s="723"/>
      <c r="R19" s="724"/>
    </row>
    <row r="20" spans="2:18" s="589" customFormat="1" ht="13.5" customHeight="1" thickBot="1">
      <c r="B20" s="625"/>
      <c r="C20" s="570"/>
      <c r="D20" s="570"/>
      <c r="E20" s="694"/>
      <c r="F20" s="682"/>
      <c r="G20" s="682"/>
      <c r="H20" s="693"/>
      <c r="I20" s="722"/>
      <c r="J20" s="693"/>
      <c r="K20" s="695"/>
      <c r="L20" s="683"/>
      <c r="M20" s="683"/>
      <c r="N20" s="570"/>
      <c r="O20" s="722"/>
      <c r="P20" s="723"/>
    </row>
    <row r="21" spans="2:18" s="566" customFormat="1">
      <c r="B21" s="623"/>
      <c r="C21" s="573" t="s">
        <v>146</v>
      </c>
      <c r="D21" s="573"/>
      <c r="E21" s="573"/>
      <c r="F21" s="573"/>
      <c r="G21" s="573"/>
      <c r="H21" s="573"/>
      <c r="I21" s="573"/>
      <c r="J21" s="573"/>
      <c r="K21" s="573"/>
      <c r="L21" s="573"/>
      <c r="M21" s="573"/>
      <c r="N21" s="573"/>
      <c r="O21" s="573"/>
      <c r="P21" s="624"/>
    </row>
    <row r="22" spans="2:18" s="566" customFormat="1">
      <c r="B22" s="623"/>
      <c r="C22" s="573" t="s">
        <v>177</v>
      </c>
      <c r="D22" s="573"/>
      <c r="E22" s="573"/>
      <c r="F22" s="573"/>
      <c r="G22" s="573"/>
      <c r="H22" s="573"/>
      <c r="I22" s="573"/>
      <c r="J22" s="573"/>
      <c r="K22" s="573"/>
      <c r="L22" s="573"/>
      <c r="M22" s="573"/>
      <c r="N22" s="573"/>
      <c r="O22" s="573"/>
      <c r="P22" s="624"/>
    </row>
    <row r="23" spans="2:18" ht="16.5" thickBot="1">
      <c r="B23" s="635"/>
      <c r="C23" s="17"/>
      <c r="D23" s="17"/>
      <c r="E23" s="17"/>
      <c r="F23" s="17"/>
      <c r="G23" s="17"/>
      <c r="H23" s="17"/>
      <c r="I23" s="17"/>
      <c r="J23" s="17"/>
      <c r="K23" s="17"/>
      <c r="L23" s="17"/>
      <c r="M23" s="17"/>
      <c r="N23" s="17"/>
      <c r="O23" s="17"/>
      <c r="P23" s="638"/>
    </row>
  </sheetData>
  <mergeCells count="4">
    <mergeCell ref="E6:I6"/>
    <mergeCell ref="K6:O6"/>
    <mergeCell ref="B1:P1"/>
    <mergeCell ref="B3:P3"/>
  </mergeCells>
  <pageMargins left="0.5" right="0.28999999999999998" top="0.75" bottom="0.75" header="0.3" footer="0.3"/>
  <pageSetup paperSize="9" scale="70" orientation="portrait" r:id="rId1"/>
  <headerFooter>
    <oddFooter>&amp;C&amp;"Times New Roman,Regular"&amp;12 5</oddFooter>
  </headerFooter>
</worksheet>
</file>

<file path=xl/worksheets/sheet13.xml><?xml version="1.0" encoding="utf-8"?>
<worksheet xmlns="http://schemas.openxmlformats.org/spreadsheetml/2006/main" xmlns:r="http://schemas.openxmlformats.org/officeDocument/2006/relationships">
  <sheetPr>
    <tabColor rgb="FFFF0000"/>
    <pageSetUpPr fitToPage="1"/>
  </sheetPr>
  <dimension ref="B2:Y56"/>
  <sheetViews>
    <sheetView view="pageBreakPreview" topLeftCell="A16" zoomScale="80" zoomScaleSheetLayoutView="80" workbookViewId="0">
      <selection activeCell="C38" sqref="C38"/>
    </sheetView>
  </sheetViews>
  <sheetFormatPr defaultColWidth="9.140625" defaultRowHeight="15.75"/>
  <cols>
    <col min="1" max="1" width="9.140625" style="76"/>
    <col min="2" max="2" width="1.85546875" style="76" customWidth="1"/>
    <col min="3" max="3" width="73" style="76" customWidth="1"/>
    <col min="4" max="4" width="13.85546875" style="128" customWidth="1"/>
    <col min="5" max="5" width="0.85546875" style="128" customWidth="1"/>
    <col min="6" max="6" width="14.28515625" style="128" customWidth="1"/>
    <col min="7" max="7" width="0.85546875" style="128" customWidth="1"/>
    <col min="8" max="8" width="14.28515625" style="128" customWidth="1"/>
    <col min="9" max="9" width="0.85546875" style="128" customWidth="1"/>
    <col min="10" max="10" width="14.42578125" style="128" customWidth="1"/>
    <col min="11" max="11" width="0.85546875" style="128" customWidth="1"/>
    <col min="12" max="12" width="13.42578125" style="128" customWidth="1"/>
    <col min="13" max="13" width="0.85546875" style="128" customWidth="1"/>
    <col min="14" max="14" width="12.85546875" style="128" customWidth="1"/>
    <col min="15" max="15" width="0.85546875" style="128" customWidth="1"/>
    <col min="16" max="16" width="12.5703125" style="128" customWidth="1"/>
    <col min="17" max="17" width="0.85546875" style="128" customWidth="1"/>
    <col min="18" max="18" width="12.7109375" style="74" customWidth="1"/>
    <col min="19" max="19" width="0.85546875" style="74" customWidth="1"/>
    <col min="20" max="20" width="12.7109375" style="74" customWidth="1"/>
    <col min="21" max="21" width="2" style="74" customWidth="1"/>
    <col min="22" max="22" width="5.28515625" style="74" customWidth="1"/>
    <col min="23" max="23" width="15.7109375" style="76" customWidth="1"/>
    <col min="24" max="24" width="18" style="76" bestFit="1" customWidth="1"/>
    <col min="25" max="25" width="12.140625" style="76" customWidth="1"/>
    <col min="26" max="16384" width="9.140625" style="76"/>
  </cols>
  <sheetData>
    <row r="2" spans="2:23" ht="78.75" customHeight="1">
      <c r="C2" s="1737" t="s">
        <v>517</v>
      </c>
      <c r="D2" s="1737"/>
      <c r="E2" s="1737"/>
      <c r="F2" s="1737"/>
      <c r="G2" s="1737"/>
      <c r="H2" s="1737"/>
      <c r="I2" s="1737"/>
      <c r="J2" s="1737"/>
      <c r="K2" s="1737"/>
      <c r="L2" s="1737"/>
      <c r="M2" s="1737"/>
      <c r="N2" s="1737"/>
      <c r="O2" s="1737"/>
      <c r="P2" s="1737"/>
      <c r="Q2" s="1737"/>
      <c r="R2" s="1737"/>
      <c r="S2" s="1737"/>
      <c r="T2" s="1737"/>
      <c r="U2" s="460"/>
    </row>
    <row r="3" spans="2:23" ht="11.25" customHeight="1">
      <c r="C3" s="91"/>
    </row>
    <row r="4" spans="2:23" ht="15.95" customHeight="1">
      <c r="C4" s="1741" t="s">
        <v>182</v>
      </c>
      <c r="D4" s="1741"/>
      <c r="E4" s="1741"/>
      <c r="F4" s="1741"/>
      <c r="G4" s="1741"/>
      <c r="H4" s="1741"/>
      <c r="I4" s="1741"/>
      <c r="J4" s="1741"/>
      <c r="K4" s="1741"/>
      <c r="L4" s="1741"/>
      <c r="M4" s="1741"/>
      <c r="N4" s="1741"/>
      <c r="O4" s="1741"/>
      <c r="P4" s="1741"/>
      <c r="Q4" s="1741"/>
      <c r="R4" s="1741"/>
      <c r="S4" s="1741"/>
      <c r="T4" s="1741"/>
      <c r="U4" s="729"/>
    </row>
    <row r="5" spans="2:23" ht="15.95" customHeight="1" thickBot="1">
      <c r="C5" s="729"/>
      <c r="D5" s="729"/>
      <c r="E5" s="729"/>
      <c r="F5" s="729"/>
      <c r="G5" s="729"/>
      <c r="H5" s="729"/>
      <c r="I5" s="729"/>
      <c r="J5" s="729"/>
      <c r="K5" s="729"/>
      <c r="L5" s="729"/>
      <c r="M5" s="729"/>
      <c r="N5" s="729"/>
      <c r="O5" s="729"/>
      <c r="P5" s="729"/>
      <c r="Q5" s="729"/>
      <c r="R5" s="729"/>
      <c r="S5" s="729"/>
      <c r="T5" s="729"/>
      <c r="U5" s="729"/>
    </row>
    <row r="6" spans="2:23" s="466" customFormat="1" ht="9.75" customHeight="1">
      <c r="B6" s="515"/>
      <c r="C6" s="737"/>
      <c r="D6" s="738"/>
      <c r="E6" s="738"/>
      <c r="F6" s="738"/>
      <c r="G6" s="738"/>
      <c r="H6" s="738"/>
      <c r="I6" s="738"/>
      <c r="J6" s="738"/>
      <c r="K6" s="738"/>
      <c r="L6" s="738"/>
      <c r="M6" s="738"/>
      <c r="N6" s="738"/>
      <c r="O6" s="738"/>
      <c r="P6" s="738"/>
      <c r="Q6" s="738"/>
      <c r="R6" s="518"/>
      <c r="S6" s="518"/>
      <c r="T6" s="518"/>
      <c r="U6" s="739"/>
      <c r="V6" s="464"/>
    </row>
    <row r="7" spans="2:23" s="747" customFormat="1" ht="15.95" customHeight="1" thickBot="1">
      <c r="B7" s="740"/>
      <c r="C7" s="1739"/>
      <c r="D7" s="741"/>
      <c r="E7" s="741"/>
      <c r="F7" s="1742" t="s">
        <v>183</v>
      </c>
      <c r="G7" s="741"/>
      <c r="H7" s="1743" t="s">
        <v>325</v>
      </c>
      <c r="I7" s="1743"/>
      <c r="J7" s="1743"/>
      <c r="K7" s="1743"/>
      <c r="L7" s="1743"/>
      <c r="M7" s="1743"/>
      <c r="N7" s="1743"/>
      <c r="O7" s="742"/>
      <c r="P7" s="742"/>
      <c r="Q7" s="743"/>
      <c r="R7" s="744"/>
      <c r="S7" s="741"/>
      <c r="T7" s="1740" t="s">
        <v>115</v>
      </c>
      <c r="U7" s="745"/>
      <c r="V7" s="746"/>
    </row>
    <row r="8" spans="2:23" s="747" customFormat="1" ht="49.5" customHeight="1">
      <c r="B8" s="740"/>
      <c r="C8" s="1739"/>
      <c r="D8" s="741" t="s">
        <v>180</v>
      </c>
      <c r="E8" s="741"/>
      <c r="F8" s="1742"/>
      <c r="G8" s="741"/>
      <c r="H8" s="741" t="s">
        <v>426</v>
      </c>
      <c r="I8" s="741"/>
      <c r="J8" s="741" t="s">
        <v>184</v>
      </c>
      <c r="K8" s="741"/>
      <c r="L8" s="741" t="s">
        <v>117</v>
      </c>
      <c r="M8" s="741"/>
      <c r="N8" s="741" t="s">
        <v>427</v>
      </c>
      <c r="O8" s="741"/>
      <c r="P8" s="741" t="s">
        <v>448</v>
      </c>
      <c r="Q8" s="741"/>
      <c r="R8" s="748" t="s">
        <v>119</v>
      </c>
      <c r="S8" s="748"/>
      <c r="T8" s="1740"/>
      <c r="U8" s="745"/>
      <c r="V8" s="746"/>
    </row>
    <row r="9" spans="2:23" s="747" customFormat="1" ht="15.95" customHeight="1" thickBot="1">
      <c r="B9" s="740"/>
      <c r="C9" s="749"/>
      <c r="D9" s="742" t="s">
        <v>185</v>
      </c>
      <c r="E9" s="742"/>
      <c r="F9" s="742" t="s">
        <v>185</v>
      </c>
      <c r="G9" s="742"/>
      <c r="H9" s="742" t="s">
        <v>185</v>
      </c>
      <c r="I9" s="742"/>
      <c r="J9" s="742" t="s">
        <v>185</v>
      </c>
      <c r="K9" s="742"/>
      <c r="L9" s="742" t="s">
        <v>185</v>
      </c>
      <c r="M9" s="742"/>
      <c r="N9" s="742" t="s">
        <v>185</v>
      </c>
      <c r="O9" s="742"/>
      <c r="P9" s="742" t="s">
        <v>185</v>
      </c>
      <c r="Q9" s="742"/>
      <c r="R9" s="742" t="s">
        <v>185</v>
      </c>
      <c r="S9" s="742"/>
      <c r="T9" s="742" t="s">
        <v>185</v>
      </c>
      <c r="U9" s="750"/>
      <c r="V9" s="746"/>
    </row>
    <row r="10" spans="2:23" s="466" customFormat="1" ht="15.95" customHeight="1">
      <c r="B10" s="520"/>
      <c r="C10" s="751"/>
      <c r="D10" s="752"/>
      <c r="E10" s="752"/>
      <c r="F10" s="752"/>
      <c r="G10" s="752"/>
      <c r="H10" s="752"/>
      <c r="I10" s="752"/>
      <c r="J10" s="752"/>
      <c r="K10" s="752"/>
      <c r="L10" s="752"/>
      <c r="M10" s="752"/>
      <c r="N10" s="752"/>
      <c r="O10" s="752"/>
      <c r="P10" s="752"/>
      <c r="Q10" s="752"/>
      <c r="R10" s="753"/>
      <c r="S10" s="753"/>
      <c r="T10" s="753"/>
      <c r="U10" s="754"/>
      <c r="V10" s="464"/>
    </row>
    <row r="11" spans="2:23" s="486" customFormat="1" ht="15.95" customHeight="1">
      <c r="B11" s="526"/>
      <c r="C11" s="769" t="s">
        <v>594</v>
      </c>
      <c r="D11" s="770">
        <f>ROUND('CE_Company (2)'!B9/1000000,0)</f>
        <v>12536</v>
      </c>
      <c r="E11" s="770"/>
      <c r="F11" s="770">
        <f>ROUND('CE_Company (2)'!D9/1000000,0)</f>
        <v>860</v>
      </c>
      <c r="G11" s="770"/>
      <c r="H11" s="770">
        <f>ROUND('CE_Company (2)'!F9/1000000,0)</f>
        <v>300</v>
      </c>
      <c r="I11" s="770"/>
      <c r="J11" s="770">
        <f>ROUND('CE_Company (2)'!H9/1000000,0)</f>
        <v>100</v>
      </c>
      <c r="K11" s="770"/>
      <c r="L11" s="770">
        <f>ROUND('CE_Company (2)'!J9/1000000,0)</f>
        <v>852</v>
      </c>
      <c r="M11" s="770"/>
      <c r="N11" s="770">
        <f>ROUND('CE_Company (2)'!L9/1000000,0)</f>
        <v>-121</v>
      </c>
      <c r="O11" s="770"/>
      <c r="P11" s="770">
        <f>ROUND('CE_Company (2)'!N9/1000000,0)</f>
        <v>0</v>
      </c>
      <c r="Q11" s="770"/>
      <c r="R11" s="770">
        <f>ROUND('CE_Company (2)'!P9/1000000,0)</f>
        <v>3496</v>
      </c>
      <c r="S11" s="770"/>
      <c r="T11" s="770">
        <f>SUM(D11:R11)</f>
        <v>18023</v>
      </c>
      <c r="U11" s="757"/>
      <c r="V11" s="758"/>
    </row>
    <row r="12" spans="2:23" s="466" customFormat="1" ht="15.95" customHeight="1">
      <c r="B12" s="520"/>
      <c r="C12" s="776" t="s">
        <v>479</v>
      </c>
      <c r="D12" s="777"/>
      <c r="E12" s="777"/>
      <c r="F12" s="778"/>
      <c r="G12" s="778"/>
      <c r="H12" s="778"/>
      <c r="I12" s="778"/>
      <c r="J12" s="778"/>
      <c r="K12" s="778"/>
      <c r="L12" s="778"/>
      <c r="M12" s="778"/>
      <c r="N12" s="778"/>
      <c r="O12" s="778"/>
      <c r="P12" s="778"/>
      <c r="Q12" s="778"/>
      <c r="R12" s="779"/>
      <c r="S12" s="779"/>
      <c r="T12" s="778"/>
      <c r="U12" s="761"/>
      <c r="V12" s="464"/>
    </row>
    <row r="13" spans="2:23" s="466" customFormat="1" ht="15.95" customHeight="1">
      <c r="B13" s="520"/>
      <c r="C13" s="780" t="s">
        <v>480</v>
      </c>
      <c r="D13" s="781">
        <f>ROUND('CE_Company (2)'!B11/1000000,0)</f>
        <v>0</v>
      </c>
      <c r="E13" s="781"/>
      <c r="F13" s="781">
        <f>ROUND('CE_Company (2)'!D11/1000000,0)</f>
        <v>0</v>
      </c>
      <c r="G13" s="781"/>
      <c r="H13" s="781">
        <f>ROUND('CE_Company (2)'!F11/1000000,0)</f>
        <v>0</v>
      </c>
      <c r="I13" s="781"/>
      <c r="J13" s="781">
        <f>ROUND('CE_Company (2)'!H11/1000000,0)</f>
        <v>0</v>
      </c>
      <c r="K13" s="781"/>
      <c r="L13" s="781">
        <f>ROUND('CE_Company (2)'!J11/1000000,0)</f>
        <v>0</v>
      </c>
      <c r="M13" s="781"/>
      <c r="N13" s="781">
        <f>ROUND('CE_Company (2)'!L11/1000000,0)</f>
        <v>0</v>
      </c>
      <c r="O13" s="781"/>
      <c r="P13" s="781">
        <f>ROUND('CE_Company (2)'!N11/1000000,0)</f>
        <v>0</v>
      </c>
      <c r="Q13" s="781"/>
      <c r="R13" s="781">
        <f>'3 (OCI)'!G10</f>
        <v>1643033</v>
      </c>
      <c r="S13" s="506"/>
      <c r="T13" s="781">
        <f>SUM(D13:R13)</f>
        <v>1643033</v>
      </c>
      <c r="U13" s="761"/>
      <c r="V13" s="464"/>
      <c r="W13" s="489"/>
    </row>
    <row r="14" spans="2:23" s="466" customFormat="1" ht="15.95" customHeight="1">
      <c r="B14" s="520"/>
      <c r="C14" s="762" t="s">
        <v>120</v>
      </c>
      <c r="D14" s="760">
        <f>ROUND('CE_Company (2)'!B12/1000000,0)</f>
        <v>0</v>
      </c>
      <c r="E14" s="760"/>
      <c r="F14" s="760">
        <f>ROUND('CE_Company (2)'!D12/1000000,0)</f>
        <v>0</v>
      </c>
      <c r="G14" s="760"/>
      <c r="H14" s="760">
        <f>ROUND('CE_Company (2)'!F12/1000000,0)</f>
        <v>0</v>
      </c>
      <c r="I14" s="760"/>
      <c r="J14" s="760">
        <f>ROUND('CE_Company (2)'!H12/1000000,0)</f>
        <v>0</v>
      </c>
      <c r="K14" s="760"/>
      <c r="L14" s="760">
        <f>ROUND('CE_Company (2)'!J12/1000000,0)</f>
        <v>0</v>
      </c>
      <c r="M14" s="760"/>
      <c r="N14" s="760">
        <f>ROUND('CE_Company (2)'!L12/1000000,0)</f>
        <v>6</v>
      </c>
      <c r="O14" s="760"/>
      <c r="P14" s="760">
        <f>ROUND('CE_Company (2)'!N12/1000000,0)</f>
        <v>0</v>
      </c>
      <c r="Q14" s="760"/>
      <c r="R14" s="760">
        <f>ROUND('CE_Company (2)'!P12/1000000,0)</f>
        <v>0</v>
      </c>
      <c r="S14" s="472"/>
      <c r="T14" s="760">
        <f t="shared" ref="T14:T21" si="0">SUM(D14:R14)</f>
        <v>6</v>
      </c>
      <c r="U14" s="761"/>
      <c r="V14" s="464"/>
      <c r="W14" s="489"/>
    </row>
    <row r="15" spans="2:23" s="466" customFormat="1" ht="15.95" customHeight="1">
      <c r="B15" s="520"/>
      <c r="C15" s="772" t="s">
        <v>479</v>
      </c>
      <c r="D15" s="773">
        <f>SUM(D13:D14)</f>
        <v>0</v>
      </c>
      <c r="E15" s="773"/>
      <c r="F15" s="773">
        <f>SUM(F13:F14)</f>
        <v>0</v>
      </c>
      <c r="G15" s="773"/>
      <c r="H15" s="773">
        <f>SUM(H13:H14)</f>
        <v>0</v>
      </c>
      <c r="I15" s="773"/>
      <c r="J15" s="773">
        <f>SUM(J13:J14)</f>
        <v>0</v>
      </c>
      <c r="K15" s="773"/>
      <c r="L15" s="773">
        <f>SUM(L13:L14)</f>
        <v>0</v>
      </c>
      <c r="M15" s="773"/>
      <c r="N15" s="773">
        <f>SUM(N13:N14)</f>
        <v>6</v>
      </c>
      <c r="O15" s="773"/>
      <c r="P15" s="773">
        <f>SUM(P13:P14)</f>
        <v>0</v>
      </c>
      <c r="Q15" s="773"/>
      <c r="R15" s="773">
        <f>SUM(R13:R14)</f>
        <v>1643033</v>
      </c>
      <c r="S15" s="774"/>
      <c r="T15" s="773">
        <f>SUM(T13:T14)</f>
        <v>1643039</v>
      </c>
      <c r="U15" s="761"/>
      <c r="V15" s="464"/>
      <c r="W15" s="489"/>
    </row>
    <row r="16" spans="2:23" s="466" customFormat="1" ht="15.95" customHeight="1">
      <c r="B16" s="520"/>
      <c r="C16" s="762"/>
      <c r="D16" s="760"/>
      <c r="E16" s="760"/>
      <c r="F16" s="760"/>
      <c r="G16" s="760"/>
      <c r="H16" s="760"/>
      <c r="I16" s="760"/>
      <c r="J16" s="760"/>
      <c r="K16" s="760"/>
      <c r="L16" s="760"/>
      <c r="M16" s="760"/>
      <c r="N16" s="760"/>
      <c r="O16" s="760"/>
      <c r="P16" s="760"/>
      <c r="Q16" s="760"/>
      <c r="R16" s="472"/>
      <c r="S16" s="472"/>
      <c r="T16" s="760"/>
      <c r="U16" s="761"/>
      <c r="V16" s="464"/>
    </row>
    <row r="17" spans="2:25" s="466" customFormat="1" ht="15.95" customHeight="1">
      <c r="B17" s="520"/>
      <c r="C17" s="782" t="s">
        <v>121</v>
      </c>
      <c r="D17" s="783"/>
      <c r="E17" s="783"/>
      <c r="F17" s="783"/>
      <c r="G17" s="783"/>
      <c r="H17" s="783"/>
      <c r="I17" s="783"/>
      <c r="J17" s="783"/>
      <c r="K17" s="783"/>
      <c r="L17" s="783"/>
      <c r="M17" s="783"/>
      <c r="N17" s="783"/>
      <c r="O17" s="783"/>
      <c r="P17" s="783"/>
      <c r="Q17" s="783"/>
      <c r="R17" s="512"/>
      <c r="S17" s="512"/>
      <c r="T17" s="783"/>
      <c r="U17" s="761"/>
      <c r="V17" s="464"/>
    </row>
    <row r="18" spans="2:25" s="466" customFormat="1" ht="15.95" customHeight="1" thickBot="1">
      <c r="B18" s="520"/>
      <c r="C18" s="780" t="s">
        <v>143</v>
      </c>
      <c r="D18" s="781">
        <f>ROUND('CE_Company (2)'!B15/1000000,0)</f>
        <v>50</v>
      </c>
      <c r="E18" s="781"/>
      <c r="F18" s="781">
        <f>ROUND('CE_Company (2)'!D15/1000000,0)</f>
        <v>0</v>
      </c>
      <c r="G18" s="781"/>
      <c r="H18" s="781">
        <f>ROUND('CE_Company (2)'!F15/1000000,0)</f>
        <v>0</v>
      </c>
      <c r="I18" s="781"/>
      <c r="J18" s="781">
        <f>ROUND('CE_Company (2)'!H15/1000000,0)</f>
        <v>0</v>
      </c>
      <c r="K18" s="781"/>
      <c r="L18" s="781">
        <f>ROUND('CE_Company (2)'!J15/1000000,0)</f>
        <v>0</v>
      </c>
      <c r="M18" s="781"/>
      <c r="N18" s="781">
        <f>ROUND('CE_Company (2)'!L15/1000000,0)</f>
        <v>0</v>
      </c>
      <c r="O18" s="781"/>
      <c r="P18" s="781">
        <f>ROUND('CE_Company (2)'!N15/1000000,0)</f>
        <v>0</v>
      </c>
      <c r="Q18" s="781"/>
      <c r="R18" s="781">
        <f>ROUND('CE_Company (2)'!P15/1000000,0)</f>
        <v>-50</v>
      </c>
      <c r="S18" s="506"/>
      <c r="T18" s="781">
        <f t="shared" si="0"/>
        <v>0</v>
      </c>
      <c r="U18" s="761"/>
      <c r="V18" s="464"/>
    </row>
    <row r="19" spans="2:25" s="466" customFormat="1" ht="15.95" customHeight="1" thickBot="1">
      <c r="B19" s="520"/>
      <c r="C19" s="780" t="s">
        <v>326</v>
      </c>
      <c r="D19" s="781">
        <f>ROUND('CE_Company (2)'!B16/1000000,0)</f>
        <v>0</v>
      </c>
      <c r="E19" s="781"/>
      <c r="F19" s="781">
        <f>ROUND('CE_Company (2)'!D16/1000000,0)</f>
        <v>0</v>
      </c>
      <c r="G19" s="781"/>
      <c r="H19" s="781">
        <f>ROUND('CE_Company (2)'!F16/1000000,0)</f>
        <v>0</v>
      </c>
      <c r="I19" s="781"/>
      <c r="J19" s="781">
        <f>ROUND('CE_Company (2)'!H16/1000000,0)</f>
        <v>0</v>
      </c>
      <c r="K19" s="781"/>
      <c r="L19" s="781">
        <f>ROUND('CE_Company (2)'!J16/1000000,0)</f>
        <v>0</v>
      </c>
      <c r="M19" s="781"/>
      <c r="N19" s="781">
        <f>ROUND('CE_Company (2)'!L16/1000000,0)</f>
        <v>0</v>
      </c>
      <c r="O19" s="781"/>
      <c r="P19" s="781">
        <f>ROUND('CE_Company (2)'!N16/1000000,0)</f>
        <v>0</v>
      </c>
      <c r="Q19" s="781"/>
      <c r="R19" s="781">
        <f>ROUND('CE_Company (2)'!P16/1000000,0)</f>
        <v>0</v>
      </c>
      <c r="S19" s="506"/>
      <c r="T19" s="781">
        <f t="shared" si="0"/>
        <v>0</v>
      </c>
      <c r="U19" s="761"/>
      <c r="V19" s="464"/>
      <c r="W19" s="764">
        <f>BS!G42-CE_Company!D23</f>
        <v>12623487</v>
      </c>
    </row>
    <row r="20" spans="2:25" s="466" customFormat="1" ht="15.95" customHeight="1" thickBot="1">
      <c r="B20" s="520"/>
      <c r="C20" s="780" t="s">
        <v>122</v>
      </c>
      <c r="D20" s="781">
        <f>ROUND('CE_Company (2)'!B17/1000000,0)</f>
        <v>0</v>
      </c>
      <c r="E20" s="781"/>
      <c r="F20" s="781">
        <f>ROUND('CE_Company (2)'!D17/1000000,0)+1</f>
        <v>34</v>
      </c>
      <c r="G20" s="781"/>
      <c r="H20" s="781">
        <f>ROUND('CE_Company (2)'!F17/1000000,0)</f>
        <v>0</v>
      </c>
      <c r="I20" s="781"/>
      <c r="J20" s="781">
        <f>ROUND('CE_Company (2)'!H17/1000000,0)</f>
        <v>0</v>
      </c>
      <c r="K20" s="781"/>
      <c r="L20" s="781">
        <f>ROUND('CE_Company (2)'!J17/1000000,0)</f>
        <v>88</v>
      </c>
      <c r="M20" s="781"/>
      <c r="N20" s="781">
        <f>ROUND('CE_Company (2)'!L17/1000000,0)</f>
        <v>0</v>
      </c>
      <c r="O20" s="781"/>
      <c r="P20" s="781">
        <f>ROUND('CE_Company (2)'!N17/1000000,0)</f>
        <v>0</v>
      </c>
      <c r="Q20" s="781"/>
      <c r="R20" s="781">
        <f>-SUM(D20:P20)</f>
        <v>-122</v>
      </c>
      <c r="S20" s="506"/>
      <c r="T20" s="781">
        <f t="shared" si="0"/>
        <v>0</v>
      </c>
      <c r="U20" s="761"/>
      <c r="V20" s="464"/>
      <c r="W20" s="764">
        <f>BS!G43-CE_Company!F23</f>
        <v>929604</v>
      </c>
    </row>
    <row r="21" spans="2:25" s="466" customFormat="1" ht="15.95" customHeight="1" thickBot="1">
      <c r="B21" s="520"/>
      <c r="C21" s="762" t="s">
        <v>123</v>
      </c>
      <c r="D21" s="760">
        <f>ROUND('CE_Company (2)'!B18/1000000,0)</f>
        <v>0</v>
      </c>
      <c r="E21" s="760"/>
      <c r="F21" s="760">
        <f>ROUND('CE_Company (2)'!D18/1000000,0)</f>
        <v>0</v>
      </c>
      <c r="G21" s="760"/>
      <c r="H21" s="760">
        <f>ROUND('CE_Company (2)'!F18/1000000,0)</f>
        <v>0</v>
      </c>
      <c r="I21" s="760"/>
      <c r="J21" s="760">
        <f>ROUND('CE_Company (2)'!H18/1000000,0)</f>
        <v>0</v>
      </c>
      <c r="K21" s="760"/>
      <c r="L21" s="760">
        <f>ROUND('CE_Company (2)'!J18/1000000,0)</f>
        <v>0</v>
      </c>
      <c r="M21" s="760"/>
      <c r="N21" s="760">
        <f>ROUND('CE_Company (2)'!L18/1000000,0)</f>
        <v>0</v>
      </c>
      <c r="O21" s="760"/>
      <c r="P21" s="760">
        <f>ROUND('CE_Company (2)'!N18/1000000,0)</f>
        <v>0</v>
      </c>
      <c r="Q21" s="760"/>
      <c r="R21" s="760">
        <f>ROUND('CE_Company (2)'!P18/1000000,0)</f>
        <v>0</v>
      </c>
      <c r="S21" s="472"/>
      <c r="T21" s="760">
        <f t="shared" si="0"/>
        <v>0</v>
      </c>
      <c r="U21" s="761"/>
      <c r="V21" s="464"/>
      <c r="W21" s="764">
        <f>BS!E45-SUM(H23:P23)</f>
        <v>1611003</v>
      </c>
    </row>
    <row r="22" spans="2:25" s="466" customFormat="1" ht="15.95" customHeight="1" thickBot="1">
      <c r="B22" s="520"/>
      <c r="C22" s="772" t="s">
        <v>520</v>
      </c>
      <c r="D22" s="775">
        <f>SUM(D18:D21)</f>
        <v>50</v>
      </c>
      <c r="E22" s="775"/>
      <c r="F22" s="775">
        <f>SUM(F18:F21)</f>
        <v>34</v>
      </c>
      <c r="G22" s="775"/>
      <c r="H22" s="775">
        <f>SUM(H18:H21)</f>
        <v>0</v>
      </c>
      <c r="I22" s="775"/>
      <c r="J22" s="775">
        <f>SUM(J18:J21)</f>
        <v>0</v>
      </c>
      <c r="K22" s="775"/>
      <c r="L22" s="775">
        <f>SUM(L18:L21)</f>
        <v>88</v>
      </c>
      <c r="M22" s="775"/>
      <c r="N22" s="775">
        <f>SUM(N18:N21)</f>
        <v>0</v>
      </c>
      <c r="O22" s="775"/>
      <c r="P22" s="775">
        <f>SUM(P18:P21)</f>
        <v>0</v>
      </c>
      <c r="Q22" s="775"/>
      <c r="R22" s="775">
        <f>SUM(R18:R21)</f>
        <v>-172</v>
      </c>
      <c r="S22" s="487"/>
      <c r="T22" s="775">
        <f>SUM(T18:T21)</f>
        <v>0</v>
      </c>
      <c r="U22" s="761"/>
      <c r="V22" s="464"/>
      <c r="W22" s="764"/>
    </row>
    <row r="23" spans="2:25" s="486" customFormat="1" ht="15.95" customHeight="1" thickBot="1">
      <c r="B23" s="526"/>
      <c r="C23" s="768" t="s">
        <v>478</v>
      </c>
      <c r="D23" s="765">
        <f>D11+D15+D22</f>
        <v>12586</v>
      </c>
      <c r="E23" s="765"/>
      <c r="F23" s="765">
        <f>F11+F15+F22</f>
        <v>894</v>
      </c>
      <c r="G23" s="765"/>
      <c r="H23" s="765">
        <f>H11+H15+H22</f>
        <v>300</v>
      </c>
      <c r="I23" s="765"/>
      <c r="J23" s="765">
        <f>J11+J15+J22</f>
        <v>100</v>
      </c>
      <c r="K23" s="765"/>
      <c r="L23" s="765">
        <f>L11+L15+L22</f>
        <v>940</v>
      </c>
      <c r="M23" s="765"/>
      <c r="N23" s="765">
        <f>N11+N15+N22</f>
        <v>-115</v>
      </c>
      <c r="O23" s="765"/>
      <c r="P23" s="765">
        <f>P11+P15+P22</f>
        <v>0</v>
      </c>
      <c r="Q23" s="765"/>
      <c r="R23" s="765">
        <f>R11+R15+R22</f>
        <v>1646357</v>
      </c>
      <c r="S23" s="765"/>
      <c r="T23" s="765">
        <f>T11+T15+T22</f>
        <v>1661062</v>
      </c>
      <c r="U23" s="757"/>
      <c r="V23" s="758"/>
      <c r="W23" s="766">
        <f>BS!E44-CE_Company!R23</f>
        <v>3046981</v>
      </c>
      <c r="X23" s="766" t="e">
        <f>BS!#REF!-CE_Company!T23</f>
        <v>#REF!</v>
      </c>
      <c r="Y23" s="490"/>
    </row>
    <row r="24" spans="2:25" s="486" customFormat="1" ht="16.5">
      <c r="B24" s="526"/>
      <c r="C24" s="755"/>
      <c r="D24" s="756"/>
      <c r="E24" s="756"/>
      <c r="F24" s="756"/>
      <c r="G24" s="756"/>
      <c r="H24" s="756"/>
      <c r="I24" s="756"/>
      <c r="J24" s="756"/>
      <c r="K24" s="756"/>
      <c r="L24" s="756"/>
      <c r="M24" s="756"/>
      <c r="N24" s="756"/>
      <c r="O24" s="756"/>
      <c r="P24" s="756"/>
      <c r="Q24" s="756"/>
      <c r="R24" s="484"/>
      <c r="S24" s="484"/>
      <c r="T24" s="484"/>
      <c r="U24" s="767"/>
      <c r="V24" s="758"/>
    </row>
    <row r="25" spans="2:25" s="486" customFormat="1" ht="9" customHeight="1">
      <c r="B25" s="526"/>
      <c r="C25" s="755"/>
      <c r="D25" s="756"/>
      <c r="E25" s="756"/>
      <c r="F25" s="756"/>
      <c r="G25" s="756"/>
      <c r="H25" s="756"/>
      <c r="I25" s="756"/>
      <c r="J25" s="756"/>
      <c r="K25" s="756"/>
      <c r="L25" s="756"/>
      <c r="M25" s="756"/>
      <c r="N25" s="756"/>
      <c r="O25" s="756"/>
      <c r="P25" s="756"/>
      <c r="Q25" s="756"/>
      <c r="R25" s="484"/>
      <c r="S25" s="484"/>
      <c r="T25" s="484"/>
      <c r="U25" s="767"/>
      <c r="V25" s="758"/>
    </row>
    <row r="26" spans="2:25" s="486" customFormat="1" ht="16.5" hidden="1">
      <c r="B26" s="526"/>
      <c r="C26" s="769" t="s">
        <v>500</v>
      </c>
      <c r="D26" s="770">
        <f>ROUND('CE_Company (2)'!B22/1000000,0)</f>
        <v>12586</v>
      </c>
      <c r="E26" s="770"/>
      <c r="F26" s="770">
        <f>ROUND('CE_Company (2)'!D22/1000000,0)</f>
        <v>894</v>
      </c>
      <c r="G26" s="770"/>
      <c r="H26" s="770">
        <f>ROUND('CE_Company (2)'!F22/1000000,0)</f>
        <v>300</v>
      </c>
      <c r="I26" s="770"/>
      <c r="J26" s="770">
        <f>ROUND('CE_Company (2)'!H22/1000000,0)</f>
        <v>100</v>
      </c>
      <c r="K26" s="770"/>
      <c r="L26" s="770">
        <f>ROUND('CE_Company (2)'!J22/1000000,0)</f>
        <v>940</v>
      </c>
      <c r="M26" s="770"/>
      <c r="N26" s="770">
        <f>ROUND('CE_Company (2)'!L22/1000000,0)</f>
        <v>-115</v>
      </c>
      <c r="O26" s="770"/>
      <c r="P26" s="770">
        <f>ROUND('CE_Company (2)'!N22/1000000,0)</f>
        <v>0</v>
      </c>
      <c r="Q26" s="770"/>
      <c r="R26" s="770">
        <f>ROUND('CE_Company (2)'!P22/1000000,0)</f>
        <v>4728</v>
      </c>
      <c r="S26" s="771"/>
      <c r="T26" s="770">
        <f>SUM(D26:R26)</f>
        <v>19433</v>
      </c>
      <c r="U26" s="757"/>
      <c r="V26" s="758"/>
      <c r="W26" s="756">
        <f>ROUND('CE_Company (2)'!R22/1000000,0)-T26</f>
        <v>0</v>
      </c>
    </row>
    <row r="27" spans="2:25" s="486" customFormat="1" ht="16.5" hidden="1">
      <c r="B27" s="526"/>
      <c r="C27" s="776" t="s">
        <v>499</v>
      </c>
      <c r="D27" s="784"/>
      <c r="E27" s="784"/>
      <c r="F27" s="784"/>
      <c r="G27" s="784"/>
      <c r="H27" s="784"/>
      <c r="I27" s="784"/>
      <c r="J27" s="784"/>
      <c r="K27" s="784"/>
      <c r="L27" s="784"/>
      <c r="M27" s="784"/>
      <c r="N27" s="784"/>
      <c r="O27" s="784"/>
      <c r="P27" s="784"/>
      <c r="Q27" s="784"/>
      <c r="R27" s="784"/>
      <c r="S27" s="785"/>
      <c r="T27" s="778"/>
      <c r="U27" s="761"/>
      <c r="V27" s="758"/>
      <c r="W27" s="756"/>
    </row>
    <row r="28" spans="2:25" s="486" customFormat="1" ht="16.5" hidden="1">
      <c r="B28" s="526"/>
      <c r="C28" s="780" t="s">
        <v>433</v>
      </c>
      <c r="D28" s="781">
        <f>ROUND('CE_Company (2)'!B24/1000000,0)</f>
        <v>0</v>
      </c>
      <c r="E28" s="786"/>
      <c r="F28" s="781">
        <f>ROUND('CE_Company (2)'!D24/1000000,0)</f>
        <v>0</v>
      </c>
      <c r="G28" s="786"/>
      <c r="H28" s="781">
        <f>ROUND('CE_Company (2)'!F24/1000000,0)</f>
        <v>0</v>
      </c>
      <c r="I28" s="786"/>
      <c r="J28" s="781">
        <f>ROUND('CE_Company (2)'!H24/1000000,0)</f>
        <v>0</v>
      </c>
      <c r="K28" s="786"/>
      <c r="L28" s="781">
        <f>ROUND('CE_Company (2)'!J24/1000000,0)</f>
        <v>0</v>
      </c>
      <c r="M28" s="786"/>
      <c r="N28" s="781">
        <f>ROUND('CE_Company (2)'!L24/1000000,0)</f>
        <v>0</v>
      </c>
      <c r="O28" s="786"/>
      <c r="P28" s="781">
        <f>ROUND('CE_Company (2)'!N24/1000000,0)</f>
        <v>0</v>
      </c>
      <c r="Q28" s="786"/>
      <c r="R28" s="781">
        <f>ROUND('CE_Company (2)'!P24/1000000,0)</f>
        <v>1719</v>
      </c>
      <c r="S28" s="787"/>
      <c r="T28" s="781">
        <f>SUM(D28:R28)</f>
        <v>1719</v>
      </c>
      <c r="U28" s="761"/>
      <c r="V28" s="758"/>
      <c r="W28" s="756">
        <f>ROUND('CE_Company (2)'!R24/1000000,0)-T28</f>
        <v>0</v>
      </c>
    </row>
    <row r="29" spans="2:25" s="486" customFormat="1" ht="16.5" hidden="1">
      <c r="B29" s="526"/>
      <c r="C29" s="762" t="s">
        <v>120</v>
      </c>
      <c r="D29" s="760">
        <f>ROUND('CE_Company (2)'!B25/1000000,0)</f>
        <v>0</v>
      </c>
      <c r="E29" s="756"/>
      <c r="F29" s="760">
        <f>ROUND('CE_Company (2)'!D25/1000000,0)</f>
        <v>0</v>
      </c>
      <c r="G29" s="756"/>
      <c r="H29" s="760">
        <f>ROUND('CE_Company (2)'!F25/1000000,0)</f>
        <v>0</v>
      </c>
      <c r="I29" s="756"/>
      <c r="J29" s="760">
        <f>ROUND('CE_Company (2)'!H25/1000000,0)</f>
        <v>0</v>
      </c>
      <c r="K29" s="756"/>
      <c r="L29" s="760">
        <f>ROUND('CE_Company (2)'!J25/1000000,0)</f>
        <v>0</v>
      </c>
      <c r="M29" s="756"/>
      <c r="N29" s="760">
        <f>ROUND('CE_Company (2)'!L25/1000000,0)-1</f>
        <v>58</v>
      </c>
      <c r="O29" s="756"/>
      <c r="P29" s="760">
        <f>ROUND('CE_Company (2)'!N25/1000000,0)</f>
        <v>1</v>
      </c>
      <c r="Q29" s="756"/>
      <c r="R29" s="760">
        <f>ROUND('CE_Company (2)'!P25/1000000,0)</f>
        <v>-41</v>
      </c>
      <c r="S29" s="484"/>
      <c r="T29" s="760">
        <f>SUM(D29:R29)</f>
        <v>18</v>
      </c>
      <c r="U29" s="761"/>
      <c r="V29" s="758"/>
      <c r="W29" s="756">
        <f>ROUND('CE_Company (2)'!R25/1000000,0)-T29</f>
        <v>0</v>
      </c>
    </row>
    <row r="30" spans="2:25" s="486" customFormat="1" ht="16.5" hidden="1">
      <c r="B30" s="526"/>
      <c r="C30" s="772" t="s">
        <v>499</v>
      </c>
      <c r="D30" s="773">
        <f>SUM(D28:D29)</f>
        <v>0</v>
      </c>
      <c r="E30" s="775"/>
      <c r="F30" s="773">
        <f>SUM(F28:F29)</f>
        <v>0</v>
      </c>
      <c r="G30" s="775"/>
      <c r="H30" s="773">
        <f>SUM(H28:H29)</f>
        <v>0</v>
      </c>
      <c r="I30" s="775"/>
      <c r="J30" s="773">
        <f>SUM(J28:J29)</f>
        <v>0</v>
      </c>
      <c r="K30" s="775"/>
      <c r="L30" s="773">
        <f>SUM(L28:L29)</f>
        <v>0</v>
      </c>
      <c r="M30" s="775"/>
      <c r="N30" s="773">
        <f>SUM(N28:N29)</f>
        <v>58</v>
      </c>
      <c r="O30" s="775"/>
      <c r="P30" s="773">
        <f>SUM(P28:P29)</f>
        <v>1</v>
      </c>
      <c r="Q30" s="775"/>
      <c r="R30" s="773">
        <f>SUM(R28:R29)</f>
        <v>1678</v>
      </c>
      <c r="S30" s="487"/>
      <c r="T30" s="773">
        <f>SUM(T28:T29)</f>
        <v>1737</v>
      </c>
      <c r="U30" s="761"/>
      <c r="V30" s="758"/>
      <c r="W30" s="756"/>
    </row>
    <row r="31" spans="2:25" s="486" customFormat="1" ht="16.5" hidden="1">
      <c r="B31" s="526"/>
      <c r="C31" s="762"/>
      <c r="D31" s="756"/>
      <c r="E31" s="756"/>
      <c r="F31" s="756"/>
      <c r="G31" s="756"/>
      <c r="H31" s="756"/>
      <c r="I31" s="756"/>
      <c r="J31" s="756"/>
      <c r="K31" s="756"/>
      <c r="L31" s="756"/>
      <c r="M31" s="756"/>
      <c r="N31" s="756"/>
      <c r="O31" s="756"/>
      <c r="P31" s="756"/>
      <c r="Q31" s="756"/>
      <c r="R31" s="756"/>
      <c r="S31" s="484"/>
      <c r="T31" s="760"/>
      <c r="U31" s="761"/>
      <c r="V31" s="758"/>
      <c r="W31" s="756"/>
    </row>
    <row r="32" spans="2:25" s="486" customFormat="1" ht="16.5" hidden="1">
      <c r="B32" s="526"/>
      <c r="C32" s="782" t="s">
        <v>121</v>
      </c>
      <c r="D32" s="788"/>
      <c r="E32" s="788"/>
      <c r="F32" s="788"/>
      <c r="G32" s="788"/>
      <c r="H32" s="788"/>
      <c r="I32" s="788"/>
      <c r="J32" s="788"/>
      <c r="K32" s="788"/>
      <c r="L32" s="788"/>
      <c r="M32" s="788"/>
      <c r="N32" s="788"/>
      <c r="O32" s="788"/>
      <c r="P32" s="788"/>
      <c r="Q32" s="788"/>
      <c r="R32" s="788"/>
      <c r="S32" s="789"/>
      <c r="T32" s="783"/>
      <c r="U32" s="761"/>
      <c r="V32" s="758"/>
      <c r="W32" s="756"/>
    </row>
    <row r="33" spans="2:25" s="486" customFormat="1" ht="16.5" hidden="1">
      <c r="B33" s="526"/>
      <c r="C33" s="780" t="s">
        <v>143</v>
      </c>
      <c r="D33" s="781">
        <f>ROUND('CE_Company (2)'!B28/1000000,0)</f>
        <v>150</v>
      </c>
      <c r="E33" s="786"/>
      <c r="F33" s="781">
        <f>ROUND('CE_Company (2)'!D28/1000000,0)</f>
        <v>0</v>
      </c>
      <c r="G33" s="786"/>
      <c r="H33" s="781">
        <f>ROUND('CE_Company (2)'!F28/1000000,0)</f>
        <v>0</v>
      </c>
      <c r="I33" s="786"/>
      <c r="J33" s="781">
        <f>ROUND('CE_Company (2)'!H28/1000000,0)</f>
        <v>0</v>
      </c>
      <c r="K33" s="786"/>
      <c r="L33" s="781">
        <f>ROUND('CE_Company (2)'!J28/1000000,0)</f>
        <v>0</v>
      </c>
      <c r="M33" s="786"/>
      <c r="N33" s="781">
        <f>ROUND('CE_Company (2)'!L28/1000000,0)</f>
        <v>0</v>
      </c>
      <c r="O33" s="786"/>
      <c r="P33" s="781">
        <f>ROUND('CE_Company (2)'!N28/1000000,0)</f>
        <v>0</v>
      </c>
      <c r="Q33" s="786"/>
      <c r="R33" s="781">
        <f>ROUND('CE_Company (2)'!P28/1000000,0)</f>
        <v>-150</v>
      </c>
      <c r="S33" s="787"/>
      <c r="T33" s="781">
        <f t="shared" ref="T33:T36" si="1">SUM(D33:R33)</f>
        <v>0</v>
      </c>
      <c r="U33" s="761"/>
      <c r="V33" s="758"/>
      <c r="W33" s="756">
        <f>ROUND('CE_Company (2)'!R28/1000000,0)-T33</f>
        <v>0</v>
      </c>
    </row>
    <row r="34" spans="2:25" s="486" customFormat="1" ht="17.25" hidden="1" thickBot="1">
      <c r="B34" s="526"/>
      <c r="C34" s="780" t="s">
        <v>326</v>
      </c>
      <c r="D34" s="781">
        <f>ROUND('CE_Company (2)'!B29/1000000,0)</f>
        <v>0</v>
      </c>
      <c r="E34" s="786"/>
      <c r="F34" s="781">
        <f>ROUND('CE_Company (2)'!D29/1000000,0)</f>
        <v>0</v>
      </c>
      <c r="G34" s="786"/>
      <c r="H34" s="781">
        <f>ROUND('CE_Company (2)'!F29/1000000,0)</f>
        <v>0</v>
      </c>
      <c r="I34" s="786"/>
      <c r="J34" s="781">
        <f>ROUND('CE_Company (2)'!H29/1000000,0)</f>
        <v>0</v>
      </c>
      <c r="K34" s="786"/>
      <c r="L34" s="781">
        <f>ROUND('CE_Company (2)'!J29/1000000,0)</f>
        <v>0</v>
      </c>
      <c r="M34" s="786"/>
      <c r="N34" s="781">
        <f>ROUND('CE_Company (2)'!L29/1000000,0)</f>
        <v>0</v>
      </c>
      <c r="O34" s="786"/>
      <c r="P34" s="781">
        <f>ROUND('CE_Company (2)'!N29/1000000,0)</f>
        <v>0</v>
      </c>
      <c r="Q34" s="786"/>
      <c r="R34" s="781">
        <f>ROUND('CE_Company (2)'!P29/1000000,0)</f>
        <v>0</v>
      </c>
      <c r="S34" s="787"/>
      <c r="T34" s="781">
        <f t="shared" si="1"/>
        <v>0</v>
      </c>
      <c r="U34" s="761"/>
      <c r="V34" s="758"/>
      <c r="W34" s="756">
        <f>ROUND('CE_Company (2)'!R29/1000000,0)-T34</f>
        <v>0</v>
      </c>
    </row>
    <row r="35" spans="2:25" s="486" customFormat="1" ht="17.25" hidden="1" thickBot="1">
      <c r="B35" s="526"/>
      <c r="C35" s="780" t="s">
        <v>122</v>
      </c>
      <c r="D35" s="781">
        <f>ROUND('CE_Company (2)'!B30/1000000,0)</f>
        <v>0</v>
      </c>
      <c r="E35" s="786"/>
      <c r="F35" s="781">
        <f>ROUND('CE_Company (2)'!D30/1000000,0)-1</f>
        <v>122</v>
      </c>
      <c r="G35" s="786"/>
      <c r="H35" s="781">
        <f>ROUND('CE_Company (2)'!F30/1000000,0)</f>
        <v>0</v>
      </c>
      <c r="I35" s="786"/>
      <c r="J35" s="781">
        <f>ROUND('CE_Company (2)'!H30/1000000,0)</f>
        <v>0</v>
      </c>
      <c r="K35" s="786"/>
      <c r="L35" s="781">
        <f>ROUND('CE_Company (2)'!J30/1000000,0)</f>
        <v>157</v>
      </c>
      <c r="M35" s="786"/>
      <c r="N35" s="781">
        <f>ROUND('CE_Company (2)'!L30/1000000,0)</f>
        <v>0</v>
      </c>
      <c r="O35" s="786"/>
      <c r="P35" s="781">
        <f>ROUND('CE_Company (2)'!N30/1000000,0)</f>
        <v>0</v>
      </c>
      <c r="Q35" s="786"/>
      <c r="R35" s="781">
        <f>ROUND('CE_Company (2)'!P30/1000000,0)+1</f>
        <v>-279</v>
      </c>
      <c r="S35" s="787"/>
      <c r="T35" s="781">
        <f t="shared" si="1"/>
        <v>0</v>
      </c>
      <c r="U35" s="761"/>
      <c r="V35" s="758"/>
      <c r="W35" s="756">
        <f>ROUND('CE_Company (2)'!R30/1000000,0)-T35</f>
        <v>0</v>
      </c>
      <c r="X35" s="766">
        <f>BS!G45-SUM(CE_Company!H38:P38)</f>
        <v>1328132</v>
      </c>
    </row>
    <row r="36" spans="2:25" s="486" customFormat="1" ht="17.25" hidden="1" thickBot="1">
      <c r="B36" s="526"/>
      <c r="C36" s="762" t="s">
        <v>123</v>
      </c>
      <c r="D36" s="760">
        <f>ROUND('CE_Company (2)'!B31/1000000,0)</f>
        <v>0</v>
      </c>
      <c r="E36" s="756"/>
      <c r="F36" s="760">
        <f>ROUND('CE_Company (2)'!D31/1000000,0)</f>
        <v>0</v>
      </c>
      <c r="G36" s="756"/>
      <c r="H36" s="760">
        <f>ROUND('CE_Company (2)'!F31/1000000,0)</f>
        <v>0</v>
      </c>
      <c r="I36" s="756"/>
      <c r="J36" s="760">
        <f>ROUND('CE_Company (2)'!H31/1000000,0)</f>
        <v>0</v>
      </c>
      <c r="K36" s="756"/>
      <c r="L36" s="760">
        <f>ROUND('CE_Company (2)'!J31/1000000,0)</f>
        <v>0</v>
      </c>
      <c r="M36" s="756"/>
      <c r="N36" s="760">
        <f>ROUND('CE_Company (2)'!L31/1000000,0)</f>
        <v>0</v>
      </c>
      <c r="O36" s="756"/>
      <c r="P36" s="760">
        <f>ROUND('CE_Company (2)'!N31/1000000,0)</f>
        <v>0</v>
      </c>
      <c r="Q36" s="756"/>
      <c r="R36" s="760">
        <f>ROUND('CE_Company (2)'!P31/1000000,0)-1</f>
        <v>-1976</v>
      </c>
      <c r="S36" s="484"/>
      <c r="T36" s="760">
        <f t="shared" si="1"/>
        <v>-1976</v>
      </c>
      <c r="U36" s="761"/>
      <c r="V36" s="758"/>
      <c r="W36" s="756">
        <f>ROUND('CE_Company (2)'!R31/1000000,0)-T36</f>
        <v>1</v>
      </c>
      <c r="X36" s="766">
        <f>BS!G43-CE_Company!F38</f>
        <v>929482</v>
      </c>
    </row>
    <row r="37" spans="2:25" s="486" customFormat="1" ht="17.25" hidden="1" thickBot="1">
      <c r="B37" s="526"/>
      <c r="C37" s="772" t="s">
        <v>520</v>
      </c>
      <c r="D37" s="775">
        <f>SUM(D33:D36)</f>
        <v>150</v>
      </c>
      <c r="E37" s="775"/>
      <c r="F37" s="775">
        <f>SUM(F33:F36)</f>
        <v>122</v>
      </c>
      <c r="G37" s="775"/>
      <c r="H37" s="775">
        <f>SUM(H33:H36)</f>
        <v>0</v>
      </c>
      <c r="I37" s="775"/>
      <c r="J37" s="775">
        <f>SUM(J33:J36)</f>
        <v>0</v>
      </c>
      <c r="K37" s="775"/>
      <c r="L37" s="775">
        <f>SUM(L33:L36)</f>
        <v>157</v>
      </c>
      <c r="M37" s="775"/>
      <c r="N37" s="775">
        <f>SUM(N33:N36)</f>
        <v>0</v>
      </c>
      <c r="O37" s="775"/>
      <c r="P37" s="775">
        <f>SUM(P33:P36)</f>
        <v>0</v>
      </c>
      <c r="Q37" s="775"/>
      <c r="R37" s="775">
        <f>SUM(R33:R36)</f>
        <v>-2405</v>
      </c>
      <c r="S37" s="487"/>
      <c r="T37" s="775">
        <f>SUM(T33:T36)</f>
        <v>-1976</v>
      </c>
      <c r="U37" s="761"/>
      <c r="V37" s="758"/>
      <c r="W37" s="756"/>
      <c r="X37" s="766">
        <f>BS!G42-CE_Company!D38</f>
        <v>12623337</v>
      </c>
    </row>
    <row r="38" spans="2:25" s="486" customFormat="1" ht="17.25" hidden="1" thickBot="1">
      <c r="B38" s="526"/>
      <c r="C38" s="768" t="s">
        <v>432</v>
      </c>
      <c r="D38" s="765">
        <f>D37+D26+D30</f>
        <v>12736</v>
      </c>
      <c r="E38" s="765"/>
      <c r="F38" s="765">
        <f>F37+F26+F30</f>
        <v>1016</v>
      </c>
      <c r="G38" s="765"/>
      <c r="H38" s="765">
        <f>H37+H26+H30</f>
        <v>300</v>
      </c>
      <c r="I38" s="765"/>
      <c r="J38" s="765">
        <f>J37+J26+J30</f>
        <v>100</v>
      </c>
      <c r="K38" s="765"/>
      <c r="L38" s="765">
        <f>L37+L26+L30</f>
        <v>1097</v>
      </c>
      <c r="M38" s="765"/>
      <c r="N38" s="765">
        <f>N37+N26+N30</f>
        <v>-57</v>
      </c>
      <c r="O38" s="765"/>
      <c r="P38" s="765">
        <f>P37+P26+P30</f>
        <v>1</v>
      </c>
      <c r="Q38" s="765"/>
      <c r="R38" s="765">
        <f>R37+R26+R30</f>
        <v>4001</v>
      </c>
      <c r="S38" s="563"/>
      <c r="T38" s="765">
        <f>T37+T26+T30</f>
        <v>19194</v>
      </c>
      <c r="U38" s="757"/>
      <c r="V38" s="758"/>
      <c r="X38" s="766">
        <f>BS!G44-CE_Company!R38</f>
        <v>3743127</v>
      </c>
      <c r="Y38" s="766">
        <f>BS!G46-CE_Company!T38</f>
        <v>18624078</v>
      </c>
    </row>
    <row r="39" spans="2:25" s="486" customFormat="1" ht="16.5" hidden="1">
      <c r="B39" s="526"/>
      <c r="C39" s="755"/>
      <c r="D39" s="756"/>
      <c r="E39" s="756"/>
      <c r="F39" s="756"/>
      <c r="G39" s="756"/>
      <c r="H39" s="756"/>
      <c r="I39" s="756"/>
      <c r="J39" s="756"/>
      <c r="K39" s="756"/>
      <c r="L39" s="756"/>
      <c r="M39" s="756"/>
      <c r="N39" s="756"/>
      <c r="O39" s="756"/>
      <c r="P39" s="756"/>
      <c r="Q39" s="756"/>
      <c r="R39" s="484"/>
      <c r="S39" s="484"/>
      <c r="T39" s="484"/>
      <c r="U39" s="767"/>
      <c r="V39" s="758"/>
    </row>
    <row r="40" spans="2:25" s="486" customFormat="1" ht="9.75" hidden="1" customHeight="1">
      <c r="B40" s="526"/>
      <c r="C40" s="755"/>
      <c r="D40" s="756"/>
      <c r="E40" s="756"/>
      <c r="F40" s="756"/>
      <c r="G40" s="756"/>
      <c r="H40" s="756"/>
      <c r="I40" s="756"/>
      <c r="J40" s="756"/>
      <c r="K40" s="756"/>
      <c r="L40" s="756"/>
      <c r="M40" s="756"/>
      <c r="N40" s="756"/>
      <c r="O40" s="756"/>
      <c r="P40" s="756"/>
      <c r="Q40" s="756"/>
      <c r="R40" s="484"/>
      <c r="S40" s="484"/>
      <c r="T40" s="484"/>
      <c r="U40" s="767"/>
      <c r="V40" s="758"/>
    </row>
    <row r="41" spans="2:25" s="486" customFormat="1" ht="15.95" customHeight="1">
      <c r="B41" s="526"/>
      <c r="C41" s="769" t="s">
        <v>481</v>
      </c>
      <c r="D41" s="770">
        <f>ROUND('CE_Company (2)'!B35/1000000,0)</f>
        <v>12736</v>
      </c>
      <c r="E41" s="770"/>
      <c r="F41" s="770">
        <f>ROUND('CE_Company (2)'!D35/1000000,0)</f>
        <v>1016</v>
      </c>
      <c r="G41" s="770"/>
      <c r="H41" s="770">
        <f>ROUND('CE_Company (2)'!F35/1000000,0)</f>
        <v>300</v>
      </c>
      <c r="I41" s="770"/>
      <c r="J41" s="770">
        <f>ROUND('CE_Company (2)'!H35/1000000,0)</f>
        <v>100</v>
      </c>
      <c r="K41" s="770"/>
      <c r="L41" s="770">
        <f>ROUND('CE_Company (2)'!J35/1000000,0)</f>
        <v>1097</v>
      </c>
      <c r="M41" s="770"/>
      <c r="N41" s="770">
        <f>ROUND('CE_Company (2)'!L35/1000000,0)</f>
        <v>-56</v>
      </c>
      <c r="O41" s="770"/>
      <c r="P41" s="770">
        <f>ROUND('CE_Company (2)'!N35/1000000,0)</f>
        <v>1</v>
      </c>
      <c r="Q41" s="770"/>
      <c r="R41" s="770">
        <f>ROUND('CE_Company (2)'!P35/1000000,0)</f>
        <v>4002</v>
      </c>
      <c r="S41" s="770"/>
      <c r="T41" s="770">
        <f>SUM(D41:R41)</f>
        <v>19196</v>
      </c>
      <c r="U41" s="757"/>
      <c r="V41" s="758"/>
      <c r="W41" s="490"/>
      <c r="Y41" s="490"/>
    </row>
    <row r="42" spans="2:25" s="466" customFormat="1" ht="15.95" customHeight="1">
      <c r="B42" s="520"/>
      <c r="C42" s="755" t="s">
        <v>476</v>
      </c>
      <c r="D42" s="759"/>
      <c r="E42" s="759"/>
      <c r="F42" s="760"/>
      <c r="G42" s="760"/>
      <c r="H42" s="760"/>
      <c r="I42" s="760"/>
      <c r="J42" s="760"/>
      <c r="K42" s="760"/>
      <c r="L42" s="760"/>
      <c r="M42" s="760"/>
      <c r="N42" s="760"/>
      <c r="O42" s="760"/>
      <c r="P42" s="760"/>
      <c r="Q42" s="760"/>
      <c r="R42" s="472"/>
      <c r="S42" s="472"/>
      <c r="T42" s="472"/>
      <c r="U42" s="523"/>
      <c r="V42" s="464"/>
    </row>
    <row r="43" spans="2:25" s="466" customFormat="1" ht="15.95" customHeight="1">
      <c r="B43" s="520"/>
      <c r="C43" s="780" t="s">
        <v>477</v>
      </c>
      <c r="D43" s="781">
        <f>ROUND('CE_Company (2)'!B38/1000000,0)</f>
        <v>0</v>
      </c>
      <c r="E43" s="781">
        <v>0</v>
      </c>
      <c r="F43" s="781">
        <f>ROUND('CE_Company (2)'!D38/1000000,0)</f>
        <v>0</v>
      </c>
      <c r="G43" s="781">
        <v>0</v>
      </c>
      <c r="H43" s="781">
        <f>ROUND('CE_Company (2)'!F38/1000000,0)</f>
        <v>0</v>
      </c>
      <c r="I43" s="781">
        <v>0</v>
      </c>
      <c r="J43" s="781">
        <f>ROUND('CE_Company (2)'!H38/1000000,0)</f>
        <v>0</v>
      </c>
      <c r="K43" s="781">
        <v>0</v>
      </c>
      <c r="L43" s="781">
        <f>ROUND('CE_Company (2)'!J38/1000000,0)</f>
        <v>0</v>
      </c>
      <c r="M43" s="781">
        <v>0</v>
      </c>
      <c r="N43" s="781">
        <f>ROUND('CE_Company (2)'!L38/1000000,0)</f>
        <v>0</v>
      </c>
      <c r="O43" s="781"/>
      <c r="P43" s="781">
        <f>ROUND('CE_Company (2)'!N38/1000000,0)</f>
        <v>0</v>
      </c>
      <c r="Q43" s="781">
        <v>0</v>
      </c>
      <c r="R43" s="781">
        <f>'3 (OCI)'!E10</f>
        <v>984481</v>
      </c>
      <c r="S43" s="506">
        <v>0</v>
      </c>
      <c r="T43" s="781">
        <f t="shared" ref="T43" si="2">SUM(D43:R43)</f>
        <v>984481</v>
      </c>
      <c r="U43" s="761"/>
      <c r="V43" s="464"/>
      <c r="W43" s="489"/>
    </row>
    <row r="44" spans="2:25" s="466" customFormat="1" ht="15.95" customHeight="1">
      <c r="B44" s="520"/>
      <c r="C44" s="762" t="s">
        <v>120</v>
      </c>
      <c r="D44" s="760">
        <f>ROUND('CE_Company (2)'!B39/1000000,0)</f>
        <v>0</v>
      </c>
      <c r="E44" s="760"/>
      <c r="F44" s="760">
        <f>ROUND('CE_Company (2)'!D39/1000000,0)</f>
        <v>0</v>
      </c>
      <c r="G44" s="760"/>
      <c r="H44" s="760">
        <f>ROUND('CE_Company (2)'!F39/1000000,0)</f>
        <v>0</v>
      </c>
      <c r="I44" s="760"/>
      <c r="J44" s="760">
        <f>ROUND('CE_Company (2)'!H39/1000000,0)</f>
        <v>0</v>
      </c>
      <c r="K44" s="760"/>
      <c r="L44" s="760">
        <f>ROUND('CE_Company (2)'!J39/1000000,0)</f>
        <v>0</v>
      </c>
      <c r="M44" s="760"/>
      <c r="N44" s="760">
        <f>ROUND('CE_Company (2)'!L39/1000000,0)</f>
        <v>151</v>
      </c>
      <c r="O44" s="760"/>
      <c r="P44" s="760">
        <f>ROUND('CE_Company (2)'!N39/1000000,0)</f>
        <v>-59</v>
      </c>
      <c r="Q44" s="760"/>
      <c r="R44" s="760">
        <f>ROUND('CE_Company (2)'!P39/1000000,0)</f>
        <v>0</v>
      </c>
      <c r="S44" s="472"/>
      <c r="T44" s="760">
        <f>SUM(D44:R44)</f>
        <v>92</v>
      </c>
      <c r="U44" s="761"/>
      <c r="V44" s="464"/>
      <c r="W44" s="489"/>
    </row>
    <row r="45" spans="2:25" s="466" customFormat="1" ht="15.95" customHeight="1">
      <c r="B45" s="520"/>
      <c r="C45" s="772" t="s">
        <v>476</v>
      </c>
      <c r="D45" s="773">
        <f>SUM(D43:D44)</f>
        <v>0</v>
      </c>
      <c r="E45" s="773"/>
      <c r="F45" s="773">
        <f>SUM(F43:F44)</f>
        <v>0</v>
      </c>
      <c r="G45" s="773"/>
      <c r="H45" s="773">
        <f>SUM(H43:H44)</f>
        <v>0</v>
      </c>
      <c r="I45" s="773"/>
      <c r="J45" s="773">
        <f>SUM(J43:J44)</f>
        <v>0</v>
      </c>
      <c r="K45" s="773"/>
      <c r="L45" s="773">
        <f>SUM(L43:L44)</f>
        <v>0</v>
      </c>
      <c r="M45" s="773"/>
      <c r="N45" s="773">
        <f>SUM(N43:N44)</f>
        <v>151</v>
      </c>
      <c r="O45" s="773"/>
      <c r="P45" s="773">
        <f>SUM(P43:P44)</f>
        <v>-59</v>
      </c>
      <c r="Q45" s="773"/>
      <c r="R45" s="773">
        <f>SUM(R43:R44)</f>
        <v>984481</v>
      </c>
      <c r="S45" s="774"/>
      <c r="T45" s="773">
        <f>SUM(T43:T44)</f>
        <v>984573</v>
      </c>
      <c r="U45" s="761"/>
      <c r="V45" s="464"/>
      <c r="W45" s="489"/>
    </row>
    <row r="46" spans="2:25" s="466" customFormat="1" ht="15.95" customHeight="1">
      <c r="B46" s="520"/>
      <c r="C46" s="762"/>
      <c r="D46" s="760"/>
      <c r="E46" s="760"/>
      <c r="F46" s="760"/>
      <c r="G46" s="760"/>
      <c r="H46" s="760"/>
      <c r="I46" s="760"/>
      <c r="J46" s="760"/>
      <c r="K46" s="760"/>
      <c r="L46" s="760"/>
      <c r="M46" s="760"/>
      <c r="N46" s="760"/>
      <c r="O46" s="760"/>
      <c r="P46" s="760"/>
      <c r="Q46" s="760"/>
      <c r="R46" s="472"/>
      <c r="S46" s="472"/>
      <c r="T46" s="472"/>
      <c r="U46" s="523"/>
      <c r="V46" s="464"/>
    </row>
    <row r="47" spans="2:25" s="466" customFormat="1" ht="15.95" customHeight="1">
      <c r="B47" s="520"/>
      <c r="C47" s="782" t="s">
        <v>121</v>
      </c>
      <c r="D47" s="783"/>
      <c r="E47" s="783"/>
      <c r="F47" s="783"/>
      <c r="G47" s="783"/>
      <c r="H47" s="783"/>
      <c r="I47" s="783"/>
      <c r="J47" s="783"/>
      <c r="K47" s="783"/>
      <c r="L47" s="783"/>
      <c r="M47" s="783"/>
      <c r="N47" s="783"/>
      <c r="O47" s="783"/>
      <c r="P47" s="783"/>
      <c r="Q47" s="783"/>
      <c r="R47" s="512"/>
      <c r="S47" s="512"/>
      <c r="T47" s="512"/>
      <c r="U47" s="523"/>
      <c r="V47" s="464"/>
    </row>
    <row r="48" spans="2:25" s="466" customFormat="1" ht="15.95" customHeight="1" thickBot="1">
      <c r="B48" s="520"/>
      <c r="C48" s="780" t="s">
        <v>143</v>
      </c>
      <c r="D48" s="781">
        <f>ROUND('CE_Company (2)'!B43/1000000,0)</f>
        <v>50</v>
      </c>
      <c r="E48" s="781"/>
      <c r="F48" s="781">
        <f>ROUND('CE_Company (2)'!D43/1000000,0)</f>
        <v>0</v>
      </c>
      <c r="G48" s="781"/>
      <c r="H48" s="781">
        <f>ROUND('CE_Company (2)'!F43/1000000,0)</f>
        <v>0</v>
      </c>
      <c r="I48" s="781"/>
      <c r="J48" s="781">
        <f>ROUND('CE_Company (2)'!H43/1000000,0)</f>
        <v>0</v>
      </c>
      <c r="K48" s="781"/>
      <c r="L48" s="781">
        <f>ROUND('CE_Company (2)'!J43/1000000,0)</f>
        <v>0</v>
      </c>
      <c r="M48" s="781"/>
      <c r="N48" s="781">
        <f>ROUND('CE_Company (2)'!L43/1000000,0)</f>
        <v>0</v>
      </c>
      <c r="O48" s="781"/>
      <c r="P48" s="781">
        <f>ROUND('CE_Company (2)'!N43/1000000,0)</f>
        <v>0</v>
      </c>
      <c r="Q48" s="781"/>
      <c r="R48" s="781">
        <f>ROUND('CE_Company (2)'!P43/1000000,0)</f>
        <v>-50</v>
      </c>
      <c r="S48" s="506"/>
      <c r="T48" s="781">
        <f t="shared" ref="T48:T50" si="3">SUM(D48:R48)</f>
        <v>0</v>
      </c>
      <c r="U48" s="761"/>
      <c r="V48" s="464"/>
    </row>
    <row r="49" spans="2:25" s="466" customFormat="1" ht="15.95" customHeight="1" thickBot="1">
      <c r="B49" s="520"/>
      <c r="C49" s="780" t="s">
        <v>122</v>
      </c>
      <c r="D49" s="781">
        <f>ROUND('CE_Company (2)'!B44/1000000,0)</f>
        <v>0</v>
      </c>
      <c r="E49" s="781"/>
      <c r="F49" s="781">
        <f>ROUND('CE_Company (2)'!D44/1000000,0)</f>
        <v>34</v>
      </c>
      <c r="G49" s="781"/>
      <c r="H49" s="781">
        <f>ROUND('CE_Company (2)'!F44/1000000,0)</f>
        <v>0</v>
      </c>
      <c r="I49" s="781"/>
      <c r="J49" s="781">
        <f>ROUND('CE_Company (2)'!H44/1000000,0)</f>
        <v>0</v>
      </c>
      <c r="K49" s="781"/>
      <c r="L49" s="781">
        <f>ROUND('CE_Company (2)'!J44/1000000,0)-1</f>
        <v>27</v>
      </c>
      <c r="M49" s="781"/>
      <c r="N49" s="781">
        <f>ROUND('CE_Company (2)'!L44/1000000,0)</f>
        <v>0</v>
      </c>
      <c r="O49" s="781"/>
      <c r="P49" s="781">
        <f>ROUND('CE_Company (2)'!N44/1000000,0)</f>
        <v>0</v>
      </c>
      <c r="Q49" s="781"/>
      <c r="R49" s="781">
        <f>-SUM(D49:P49)</f>
        <v>-61</v>
      </c>
      <c r="S49" s="506"/>
      <c r="T49" s="781">
        <f>SUM(D49:R49)</f>
        <v>0</v>
      </c>
      <c r="U49" s="761"/>
      <c r="V49" s="464"/>
      <c r="W49" s="764">
        <f>BS!E43-F52</f>
        <v>1102017</v>
      </c>
      <c r="X49" s="489"/>
    </row>
    <row r="50" spans="2:25" s="466" customFormat="1" ht="15.95" customHeight="1" thickBot="1">
      <c r="B50" s="520"/>
      <c r="C50" s="762" t="s">
        <v>123</v>
      </c>
      <c r="D50" s="760">
        <f>ROUND('CE_Company (2)'!B45/1000000,0)</f>
        <v>0</v>
      </c>
      <c r="E50" s="760"/>
      <c r="F50" s="760">
        <f>ROUND('CE_Company (2)'!D45/1000000,0)</f>
        <v>0</v>
      </c>
      <c r="G50" s="760"/>
      <c r="H50" s="760">
        <f>ROUND('CE_Company (2)'!F45/1000000,0)</f>
        <v>0</v>
      </c>
      <c r="I50" s="760"/>
      <c r="J50" s="760">
        <f>ROUND('CE_Company (2)'!H45/1000000,0)</f>
        <v>0</v>
      </c>
      <c r="K50" s="760"/>
      <c r="L50" s="760">
        <f>ROUND('CE_Company (2)'!J45/1000000,0)</f>
        <v>0</v>
      </c>
      <c r="M50" s="760"/>
      <c r="N50" s="760">
        <f>ROUND('CE_Company (2)'!L45/1000000,0)</f>
        <v>0</v>
      </c>
      <c r="O50" s="760"/>
      <c r="P50" s="760">
        <f>ROUND('CE_Company (2)'!N45/1000000,0)</f>
        <v>0</v>
      </c>
      <c r="Q50" s="760"/>
      <c r="R50" s="760">
        <f>ROUND('CE_Company (2)'!P45/1000000,0)-1</f>
        <v>-791</v>
      </c>
      <c r="S50" s="472"/>
      <c r="T50" s="760">
        <f t="shared" si="3"/>
        <v>-791</v>
      </c>
      <c r="U50" s="761"/>
      <c r="V50" s="464"/>
      <c r="W50" s="764">
        <f>BS!E45-SUM(H52:P52)</f>
        <v>1610667</v>
      </c>
    </row>
    <row r="51" spans="2:25" s="466" customFormat="1" ht="15.95" customHeight="1" thickBot="1">
      <c r="B51" s="520"/>
      <c r="C51" s="772" t="s">
        <v>520</v>
      </c>
      <c r="D51" s="775">
        <f>SUM(D48:D50)</f>
        <v>50</v>
      </c>
      <c r="E51" s="775"/>
      <c r="F51" s="775">
        <f>SUM(F48:F50)</f>
        <v>34</v>
      </c>
      <c r="G51" s="775"/>
      <c r="H51" s="775">
        <f>SUM(H48:H50)</f>
        <v>0</v>
      </c>
      <c r="I51" s="775"/>
      <c r="J51" s="775">
        <f>SUM(J48:J50)</f>
        <v>0</v>
      </c>
      <c r="K51" s="775"/>
      <c r="L51" s="775">
        <f>SUM(L48:L50)</f>
        <v>27</v>
      </c>
      <c r="M51" s="775"/>
      <c r="N51" s="775">
        <f>SUM(N48:N50)</f>
        <v>0</v>
      </c>
      <c r="O51" s="775"/>
      <c r="P51" s="775">
        <f>SUM(P48:P50)</f>
        <v>0</v>
      </c>
      <c r="Q51" s="775"/>
      <c r="R51" s="775">
        <f>SUM(R48:R50)</f>
        <v>-902</v>
      </c>
      <c r="S51" s="487"/>
      <c r="T51" s="775">
        <f>SUM(T48:T50)</f>
        <v>-791</v>
      </c>
      <c r="U51" s="761"/>
      <c r="V51" s="464"/>
      <c r="W51" s="764">
        <f>D52-BS!E42</f>
        <v>-12823287</v>
      </c>
    </row>
    <row r="52" spans="2:25" s="486" customFormat="1" ht="15.95" customHeight="1" thickBot="1">
      <c r="B52" s="526"/>
      <c r="C52" s="768" t="s">
        <v>482</v>
      </c>
      <c r="D52" s="765">
        <f>D41+D45+D51</f>
        <v>12786</v>
      </c>
      <c r="E52" s="765"/>
      <c r="F52" s="765">
        <f>F41+F45+F51</f>
        <v>1050</v>
      </c>
      <c r="G52" s="765"/>
      <c r="H52" s="765">
        <f>H41+H45+H51</f>
        <v>300</v>
      </c>
      <c r="I52" s="765"/>
      <c r="J52" s="765">
        <f>J41+J45+J51</f>
        <v>100</v>
      </c>
      <c r="K52" s="765"/>
      <c r="L52" s="765">
        <f>L41+L45+L51</f>
        <v>1124</v>
      </c>
      <c r="M52" s="765"/>
      <c r="N52" s="765">
        <f>N41+N45+N51</f>
        <v>95</v>
      </c>
      <c r="O52" s="765"/>
      <c r="P52" s="765">
        <f>P41+P45+P51</f>
        <v>-58</v>
      </c>
      <c r="Q52" s="765"/>
      <c r="R52" s="765">
        <f>R41+R45+R51</f>
        <v>987581</v>
      </c>
      <c r="S52" s="765"/>
      <c r="T52" s="765">
        <f>T41+T45+T51</f>
        <v>1002978</v>
      </c>
      <c r="U52" s="757"/>
      <c r="V52" s="758"/>
      <c r="W52" s="766">
        <f>BS!E44-CE_Company!R52</f>
        <v>3705757</v>
      </c>
      <c r="X52" s="766">
        <f>BS!E46-CE_Company!T52</f>
        <v>19241728</v>
      </c>
      <c r="Y52" s="490"/>
    </row>
    <row r="53" spans="2:25" s="466" customFormat="1" ht="9.75" customHeight="1">
      <c r="B53" s="520"/>
      <c r="C53" s="762"/>
      <c r="D53" s="760"/>
      <c r="E53" s="760"/>
      <c r="F53" s="760"/>
      <c r="G53" s="760"/>
      <c r="H53" s="760"/>
      <c r="I53" s="760"/>
      <c r="J53" s="760"/>
      <c r="K53" s="760"/>
      <c r="L53" s="760"/>
      <c r="M53" s="760"/>
      <c r="N53" s="760"/>
      <c r="O53" s="760"/>
      <c r="P53" s="760"/>
      <c r="Q53" s="760"/>
      <c r="R53" s="472"/>
      <c r="S53" s="472"/>
      <c r="T53" s="472"/>
      <c r="U53" s="523"/>
      <c r="V53" s="464"/>
    </row>
    <row r="54" spans="2:25" s="466" customFormat="1">
      <c r="B54" s="520"/>
      <c r="C54" s="535" t="s">
        <v>146</v>
      </c>
      <c r="D54" s="530"/>
      <c r="E54" s="760"/>
      <c r="F54" s="760"/>
      <c r="G54" s="760"/>
      <c r="H54" s="760"/>
      <c r="I54" s="760"/>
      <c r="J54" s="760"/>
      <c r="K54" s="760"/>
      <c r="L54" s="760"/>
      <c r="M54" s="760"/>
      <c r="N54" s="760"/>
      <c r="O54" s="760"/>
      <c r="P54" s="760"/>
      <c r="Q54" s="760"/>
      <c r="R54" s="472"/>
      <c r="S54" s="472"/>
      <c r="T54" s="472"/>
      <c r="U54" s="523"/>
      <c r="V54" s="464"/>
    </row>
    <row r="55" spans="2:25">
      <c r="B55" s="730"/>
      <c r="C55" s="424" t="s">
        <v>177</v>
      </c>
      <c r="D55" s="424"/>
      <c r="E55" s="137"/>
      <c r="F55" s="137"/>
      <c r="G55" s="137"/>
      <c r="H55" s="137"/>
      <c r="I55" s="137"/>
      <c r="J55" s="137"/>
      <c r="K55" s="137"/>
      <c r="L55" s="137"/>
      <c r="M55" s="137"/>
      <c r="N55" s="137"/>
      <c r="O55" s="137"/>
      <c r="P55" s="137"/>
      <c r="Q55" s="137"/>
      <c r="R55" s="79"/>
      <c r="S55" s="79"/>
      <c r="T55" s="79"/>
      <c r="U55" s="731"/>
    </row>
    <row r="56" spans="2:25" ht="12" customHeight="1" thickBot="1">
      <c r="B56" s="732"/>
      <c r="C56" s="733"/>
      <c r="D56" s="734"/>
      <c r="E56" s="734"/>
      <c r="F56" s="734"/>
      <c r="G56" s="734"/>
      <c r="H56" s="734"/>
      <c r="I56" s="734"/>
      <c r="J56" s="734"/>
      <c r="K56" s="734"/>
      <c r="L56" s="734"/>
      <c r="M56" s="734"/>
      <c r="N56" s="734"/>
      <c r="O56" s="734"/>
      <c r="P56" s="734"/>
      <c r="Q56" s="734"/>
      <c r="R56" s="735"/>
      <c r="S56" s="735"/>
      <c r="T56" s="735"/>
      <c r="U56" s="736"/>
    </row>
  </sheetData>
  <mergeCells count="6">
    <mergeCell ref="C2:T2"/>
    <mergeCell ref="C7:C8"/>
    <mergeCell ref="T7:T8"/>
    <mergeCell ref="C4:T4"/>
    <mergeCell ref="F7:F8"/>
    <mergeCell ref="H7:N7"/>
  </mergeCells>
  <pageMargins left="0.55000000000000004" right="0.24" top="0.3" bottom="0.2" header="0.25" footer="0.17"/>
  <pageSetup paperSize="9" scale="69" orientation="landscape" r:id="rId1"/>
  <headerFooter>
    <oddFooter>&amp;C&amp;"Book Antiqua,Regular"&amp;12 4</oddFooter>
  </headerFooter>
</worksheet>
</file>

<file path=xl/worksheets/sheet14.xml><?xml version="1.0" encoding="utf-8"?>
<worksheet xmlns="http://schemas.openxmlformats.org/spreadsheetml/2006/main" xmlns:r="http://schemas.openxmlformats.org/officeDocument/2006/relationships">
  <sheetPr>
    <tabColor rgb="FFFF0000"/>
    <pageSetUpPr fitToPage="1"/>
  </sheetPr>
  <dimension ref="B2:AB77"/>
  <sheetViews>
    <sheetView view="pageBreakPreview" zoomScale="80" zoomScaleSheetLayoutView="80" workbookViewId="0">
      <selection activeCell="C38" sqref="C38"/>
    </sheetView>
  </sheetViews>
  <sheetFormatPr defaultColWidth="9.140625" defaultRowHeight="15.75"/>
  <cols>
    <col min="1" max="1" width="9.140625" style="76"/>
    <col min="2" max="2" width="2" style="76" customWidth="1"/>
    <col min="3" max="3" width="71.7109375" style="76" customWidth="1"/>
    <col min="4" max="4" width="12.5703125" style="128" customWidth="1"/>
    <col min="5" max="5" width="0.85546875" style="128" customWidth="1"/>
    <col min="6" max="6" width="12.7109375" style="128" customWidth="1"/>
    <col min="7" max="7" width="0.85546875" style="128" customWidth="1"/>
    <col min="8" max="8" width="12.140625" style="128" customWidth="1"/>
    <col min="9" max="9" width="0.85546875" style="128" customWidth="1"/>
    <col min="10" max="10" width="14.7109375" style="128" customWidth="1"/>
    <col min="11" max="11" width="0.85546875" style="128" customWidth="1"/>
    <col min="12" max="12" width="13.42578125" style="128" customWidth="1"/>
    <col min="13" max="13" width="0.85546875" style="128" customWidth="1"/>
    <col min="14" max="14" width="14.140625" style="128" customWidth="1"/>
    <col min="15" max="15" width="0.85546875" style="128" customWidth="1"/>
    <col min="16" max="16" width="12.7109375" style="128" customWidth="1"/>
    <col min="17" max="17" width="1.140625" style="128" customWidth="1"/>
    <col min="18" max="18" width="12.7109375" style="128" customWidth="1"/>
    <col min="19" max="19" width="0.85546875" style="128" customWidth="1"/>
    <col min="20" max="20" width="12.7109375" style="74" customWidth="1"/>
    <col min="21" max="21" width="1.28515625" style="74" customWidth="1"/>
    <col min="22" max="22" width="11.5703125" style="74" customWidth="1"/>
    <col min="23" max="23" width="0.5703125" style="74" customWidth="1"/>
    <col min="24" max="24" width="1.5703125" style="74" customWidth="1"/>
    <col min="25" max="25" width="5.140625" style="74" customWidth="1"/>
    <col min="26" max="26" width="19.28515625" style="76" customWidth="1"/>
    <col min="27" max="27" width="18" style="76" bestFit="1" customWidth="1"/>
    <col min="28" max="16384" width="9.140625" style="76"/>
  </cols>
  <sheetData>
    <row r="2" spans="2:26" ht="78.75" customHeight="1">
      <c r="C2" s="1737" t="s">
        <v>517</v>
      </c>
      <c r="D2" s="1737"/>
      <c r="E2" s="1737"/>
      <c r="F2" s="1737"/>
      <c r="G2" s="1737"/>
      <c r="H2" s="1737"/>
      <c r="I2" s="1737"/>
      <c r="J2" s="1737"/>
      <c r="K2" s="1737"/>
      <c r="L2" s="1737"/>
      <c r="M2" s="1737"/>
      <c r="N2" s="1737"/>
      <c r="O2" s="1737"/>
      <c r="P2" s="1737"/>
      <c r="Q2" s="1737"/>
      <c r="R2" s="1737"/>
      <c r="S2" s="1737"/>
      <c r="T2" s="1737"/>
      <c r="U2" s="1744"/>
      <c r="V2" s="1744"/>
      <c r="W2" s="1744"/>
      <c r="X2" s="791"/>
    </row>
    <row r="3" spans="2:26" s="75" customFormat="1" ht="15.95" customHeight="1">
      <c r="C3" s="790"/>
      <c r="D3" s="791"/>
      <c r="E3" s="791"/>
      <c r="F3" s="791"/>
      <c r="G3" s="791"/>
      <c r="H3" s="791"/>
      <c r="I3" s="791"/>
      <c r="J3" s="791"/>
      <c r="K3" s="791"/>
      <c r="L3" s="791"/>
      <c r="M3" s="791"/>
      <c r="N3" s="791"/>
      <c r="O3" s="791"/>
      <c r="P3" s="791"/>
      <c r="Q3" s="791"/>
      <c r="R3" s="791"/>
      <c r="S3" s="791"/>
      <c r="T3" s="791"/>
      <c r="U3" s="791"/>
      <c r="V3" s="791"/>
      <c r="W3" s="791"/>
      <c r="X3" s="791"/>
      <c r="Y3" s="74"/>
    </row>
    <row r="4" spans="2:26" s="75" customFormat="1" ht="15.95" customHeight="1">
      <c r="C4" s="1741" t="s">
        <v>186</v>
      </c>
      <c r="D4" s="1741"/>
      <c r="E4" s="1741"/>
      <c r="F4" s="1741"/>
      <c r="G4" s="1741"/>
      <c r="H4" s="1741"/>
      <c r="I4" s="1741"/>
      <c r="J4" s="1741"/>
      <c r="K4" s="1741"/>
      <c r="L4" s="1741"/>
      <c r="M4" s="1741"/>
      <c r="N4" s="1741"/>
      <c r="O4" s="1741"/>
      <c r="P4" s="1741"/>
      <c r="Q4" s="1741"/>
      <c r="R4" s="1741"/>
      <c r="S4" s="1741"/>
      <c r="T4" s="1741"/>
      <c r="U4" s="1741"/>
      <c r="V4" s="1741"/>
      <c r="W4" s="1741"/>
      <c r="X4" s="791"/>
      <c r="Y4" s="74"/>
    </row>
    <row r="5" spans="2:26" s="462" customFormat="1" ht="15.95" customHeight="1" thickBot="1">
      <c r="C5" s="469"/>
      <c r="D5" s="470"/>
      <c r="E5" s="470"/>
      <c r="F5" s="470"/>
      <c r="G5" s="470"/>
      <c r="H5" s="470"/>
      <c r="I5" s="470"/>
      <c r="J5" s="470"/>
      <c r="K5" s="470"/>
      <c r="L5" s="470"/>
      <c r="M5" s="470"/>
      <c r="N5" s="470"/>
      <c r="O5" s="470"/>
      <c r="P5" s="470"/>
      <c r="Q5" s="470"/>
      <c r="R5" s="470"/>
      <c r="S5" s="470"/>
      <c r="T5" s="470"/>
      <c r="U5" s="470"/>
      <c r="V5" s="470"/>
      <c r="W5" s="470"/>
      <c r="X5" s="470"/>
      <c r="Y5" s="464"/>
    </row>
    <row r="6" spans="2:26" s="466" customFormat="1" ht="15.95" customHeight="1">
      <c r="B6" s="515"/>
      <c r="C6" s="792"/>
      <c r="D6" s="738"/>
      <c r="E6" s="738"/>
      <c r="F6" s="738"/>
      <c r="G6" s="738"/>
      <c r="H6" s="738"/>
      <c r="I6" s="738"/>
      <c r="J6" s="738"/>
      <c r="K6" s="738"/>
      <c r="L6" s="738"/>
      <c r="M6" s="738"/>
      <c r="N6" s="738"/>
      <c r="O6" s="738"/>
      <c r="P6" s="738"/>
      <c r="Q6" s="738"/>
      <c r="R6" s="738"/>
      <c r="S6" s="738"/>
      <c r="T6" s="518"/>
      <c r="U6" s="518"/>
      <c r="V6" s="518"/>
      <c r="W6" s="518"/>
      <c r="X6" s="739"/>
      <c r="Y6" s="464"/>
    </row>
    <row r="7" spans="2:26" s="747" customFormat="1" ht="15.95" customHeight="1" thickBot="1">
      <c r="B7" s="740"/>
      <c r="C7" s="1739"/>
      <c r="D7" s="741"/>
      <c r="E7" s="741"/>
      <c r="F7" s="1742" t="s">
        <v>183</v>
      </c>
      <c r="G7" s="741"/>
      <c r="H7" s="1743" t="s">
        <v>325</v>
      </c>
      <c r="I7" s="1743"/>
      <c r="J7" s="1743"/>
      <c r="K7" s="1743"/>
      <c r="L7" s="1743"/>
      <c r="M7" s="1743"/>
      <c r="N7" s="1743"/>
      <c r="O7" s="1743"/>
      <c r="P7" s="1743"/>
      <c r="Q7" s="741"/>
      <c r="R7" s="741"/>
      <c r="S7" s="744"/>
      <c r="T7" s="744"/>
      <c r="U7" s="744"/>
      <c r="V7" s="744"/>
      <c r="W7" s="744"/>
      <c r="X7" s="745"/>
      <c r="Y7" s="746"/>
    </row>
    <row r="8" spans="2:26" s="747" customFormat="1" ht="49.5" customHeight="1">
      <c r="B8" s="740"/>
      <c r="C8" s="1739"/>
      <c r="D8" s="741" t="s">
        <v>180</v>
      </c>
      <c r="E8" s="741"/>
      <c r="F8" s="1742"/>
      <c r="G8" s="741"/>
      <c r="H8" s="741" t="s">
        <v>426</v>
      </c>
      <c r="I8" s="741"/>
      <c r="J8" s="741" t="s">
        <v>184</v>
      </c>
      <c r="K8" s="741"/>
      <c r="L8" s="741" t="s">
        <v>117</v>
      </c>
      <c r="M8" s="741"/>
      <c r="N8" s="741" t="s">
        <v>419</v>
      </c>
      <c r="O8" s="741"/>
      <c r="P8" s="741" t="s">
        <v>428</v>
      </c>
      <c r="Q8" s="741"/>
      <c r="R8" s="741" t="s">
        <v>448</v>
      </c>
      <c r="S8" s="741"/>
      <c r="T8" s="748" t="s">
        <v>119</v>
      </c>
      <c r="U8" s="748"/>
      <c r="V8" s="1740" t="s">
        <v>115</v>
      </c>
      <c r="W8" s="748"/>
      <c r="X8" s="745"/>
      <c r="Y8" s="746"/>
    </row>
    <row r="9" spans="2:26" s="747" customFormat="1" ht="15.95" customHeight="1">
      <c r="B9" s="740"/>
      <c r="C9" s="799"/>
      <c r="D9" s="741" t="s">
        <v>185</v>
      </c>
      <c r="E9" s="741"/>
      <c r="F9" s="741" t="s">
        <v>185</v>
      </c>
      <c r="G9" s="741"/>
      <c r="H9" s="741" t="s">
        <v>185</v>
      </c>
      <c r="I9" s="741"/>
      <c r="J9" s="741" t="s">
        <v>185</v>
      </c>
      <c r="K9" s="741"/>
      <c r="L9" s="741" t="s">
        <v>185</v>
      </c>
      <c r="M9" s="741"/>
      <c r="N9" s="741" t="s">
        <v>14</v>
      </c>
      <c r="O9" s="741"/>
      <c r="P9" s="741" t="s">
        <v>185</v>
      </c>
      <c r="Q9" s="741"/>
      <c r="R9" s="741" t="s">
        <v>185</v>
      </c>
      <c r="S9" s="741"/>
      <c r="T9" s="741" t="s">
        <v>185</v>
      </c>
      <c r="U9" s="741"/>
      <c r="V9" s="1740"/>
      <c r="W9" s="741"/>
      <c r="X9" s="745"/>
      <c r="Y9" s="746"/>
    </row>
    <row r="10" spans="2:26" s="466" customFormat="1" ht="15.95" customHeight="1">
      <c r="B10" s="520"/>
      <c r="C10" s="751"/>
      <c r="D10" s="752"/>
      <c r="E10" s="752"/>
      <c r="F10" s="752"/>
      <c r="G10" s="752"/>
      <c r="H10" s="752"/>
      <c r="I10" s="752"/>
      <c r="J10" s="752"/>
      <c r="K10" s="752"/>
      <c r="L10" s="752"/>
      <c r="M10" s="752"/>
      <c r="N10" s="752"/>
      <c r="O10" s="752"/>
      <c r="P10" s="752"/>
      <c r="Q10" s="752"/>
      <c r="R10" s="752"/>
      <c r="S10" s="752"/>
      <c r="T10" s="753"/>
      <c r="U10" s="753"/>
      <c r="V10" s="753"/>
      <c r="W10" s="753"/>
      <c r="X10" s="754"/>
      <c r="Y10" s="464"/>
    </row>
    <row r="11" spans="2:26" s="486" customFormat="1" ht="15.95" customHeight="1">
      <c r="B11" s="526"/>
      <c r="C11" s="769" t="s">
        <v>335</v>
      </c>
      <c r="D11" s="770">
        <f>ROUND('CE_Group 1 (2)'!B7/1000000,0)</f>
        <v>12536</v>
      </c>
      <c r="E11" s="770"/>
      <c r="F11" s="770">
        <f>ROUND('CE_Group 1 (2)'!D7/1000000,0)</f>
        <v>860</v>
      </c>
      <c r="G11" s="770"/>
      <c r="H11" s="770">
        <f>ROUND('CE_Group 1 (2)'!F7/1000000,0)</f>
        <v>300</v>
      </c>
      <c r="I11" s="770"/>
      <c r="J11" s="770">
        <f>ROUND('CE_Group 1 (2)'!H7/1000000,0)</f>
        <v>100</v>
      </c>
      <c r="K11" s="770"/>
      <c r="L11" s="770">
        <f>ROUND('CE_Group 1 (2)'!J7/1000000,0)</f>
        <v>852</v>
      </c>
      <c r="M11" s="770">
        <v>0</v>
      </c>
      <c r="N11" s="770">
        <f>ROUND('CE_Group 1 (2)'!L7/1000000,0)</f>
        <v>0</v>
      </c>
      <c r="O11" s="770"/>
      <c r="P11" s="770">
        <f>ROUND('CE_Group 1 (2)'!N7/1000000,0)</f>
        <v>-119</v>
      </c>
      <c r="Q11" s="770"/>
      <c r="R11" s="770">
        <f>ROUND('CE_Group 1 (2)'!P7/1000000,0)</f>
        <v>0</v>
      </c>
      <c r="S11" s="770"/>
      <c r="T11" s="770">
        <f>ROUND('CE_Group 1 (2)'!R7/1000000,0)</f>
        <v>3724</v>
      </c>
      <c r="U11" s="770"/>
      <c r="V11" s="770">
        <f>SUM(D11:T11)</f>
        <v>18253</v>
      </c>
      <c r="W11" s="770"/>
      <c r="X11" s="767"/>
      <c r="Y11" s="758"/>
    </row>
    <row r="12" spans="2:26" s="466" customFormat="1" ht="15.95" customHeight="1">
      <c r="B12" s="520"/>
      <c r="C12" s="776" t="s">
        <v>479</v>
      </c>
      <c r="D12" s="777"/>
      <c r="E12" s="777"/>
      <c r="F12" s="778"/>
      <c r="G12" s="778"/>
      <c r="H12" s="778"/>
      <c r="I12" s="778"/>
      <c r="J12" s="778"/>
      <c r="K12" s="778"/>
      <c r="L12" s="778"/>
      <c r="M12" s="778"/>
      <c r="N12" s="778">
        <v>0</v>
      </c>
      <c r="O12" s="778"/>
      <c r="P12" s="778"/>
      <c r="Q12" s="778"/>
      <c r="R12" s="778"/>
      <c r="S12" s="778"/>
      <c r="T12" s="779"/>
      <c r="U12" s="779"/>
      <c r="V12" s="779"/>
      <c r="W12" s="779"/>
      <c r="X12" s="523"/>
      <c r="Y12" s="464"/>
    </row>
    <row r="13" spans="2:26" s="466" customFormat="1" ht="15.95" customHeight="1">
      <c r="B13" s="520"/>
      <c r="C13" s="780" t="s">
        <v>480</v>
      </c>
      <c r="D13" s="781">
        <f>ROUND('CE_Group 1 (2)'!B9/1000000,0)</f>
        <v>0</v>
      </c>
      <c r="E13" s="781"/>
      <c r="F13" s="781">
        <f>ROUND('CE_Group 1 (2)'!D9/1000000,0)</f>
        <v>0</v>
      </c>
      <c r="G13" s="781"/>
      <c r="H13" s="781">
        <f>ROUND('CE_Group 1 (2)'!F9/1000000,0)</f>
        <v>0</v>
      </c>
      <c r="I13" s="781"/>
      <c r="J13" s="781">
        <f>ROUND('CE_Group 1 (2)'!H9/1000000,0)</f>
        <v>0</v>
      </c>
      <c r="K13" s="781"/>
      <c r="L13" s="781">
        <f>ROUND('CE_Group 1 (2)'!J9/1000000,0)</f>
        <v>0</v>
      </c>
      <c r="M13" s="781"/>
      <c r="N13" s="781">
        <f>ROUND('CE_Group 1 (2)'!L9/1000000,0)</f>
        <v>0</v>
      </c>
      <c r="O13" s="781"/>
      <c r="P13" s="781">
        <f>ROUND('CE_Group 1 (2)'!N9/1000000,0)</f>
        <v>0</v>
      </c>
      <c r="Q13" s="781"/>
      <c r="R13" s="781">
        <f>ROUND('CE_Group 1 (2)'!P9/1000000,0)</f>
        <v>0</v>
      </c>
      <c r="S13" s="781"/>
      <c r="T13" s="781">
        <f>'3 (OCI)'!M10</f>
        <v>2106303</v>
      </c>
      <c r="U13" s="506"/>
      <c r="V13" s="506">
        <f>SUM(D13:T13)</f>
        <v>2106303</v>
      </c>
      <c r="W13" s="506"/>
      <c r="X13" s="523"/>
      <c r="Y13" s="464"/>
      <c r="Z13" s="489"/>
    </row>
    <row r="14" spans="2:26" s="466" customFormat="1" ht="15.95" customHeight="1">
      <c r="B14" s="520"/>
      <c r="C14" s="1157" t="s">
        <v>120</v>
      </c>
      <c r="D14" s="781">
        <f>ROUND('CE_Group 1 (2)'!B10/1000000,0)</f>
        <v>0</v>
      </c>
      <c r="E14" s="1158"/>
      <c r="F14" s="781">
        <f>ROUND('CE_Group 1 (2)'!D10/1000000,0)</f>
        <v>0</v>
      </c>
      <c r="G14" s="1158"/>
      <c r="H14" s="781">
        <f>ROUND('CE_Group 1 (2)'!F10/1000000,0)</f>
        <v>0</v>
      </c>
      <c r="I14" s="1158"/>
      <c r="J14" s="781">
        <f>ROUND('CE_Group 1 (2)'!H10/1000000,0)</f>
        <v>0</v>
      </c>
      <c r="K14" s="1158"/>
      <c r="L14" s="781">
        <f>ROUND('CE_Group 1 (2)'!J10/1000000,0)</f>
        <v>0</v>
      </c>
      <c r="M14" s="1158"/>
      <c r="N14" s="781">
        <f>ROUND('CE_Group 1 (2)'!L10/1000000,0)</f>
        <v>0</v>
      </c>
      <c r="O14" s="1158"/>
      <c r="P14" s="781">
        <f>ROUND('CE_Group 1 (2)'!N10/1000000,0)</f>
        <v>2</v>
      </c>
      <c r="Q14" s="1158"/>
      <c r="R14" s="781">
        <f>ROUND('CE_Group 1 (2)'!P10/1000000,0)</f>
        <v>0</v>
      </c>
      <c r="S14" s="1158"/>
      <c r="T14" s="781">
        <f>ROUND('CE_Group 1 (2)'!R10/1000000,0)</f>
        <v>0</v>
      </c>
      <c r="U14" s="1159"/>
      <c r="V14" s="1159">
        <f>SUM(D14:T14)</f>
        <v>2</v>
      </c>
      <c r="W14" s="1159"/>
      <c r="X14" s="523"/>
      <c r="Y14" s="464"/>
      <c r="Z14" s="489"/>
    </row>
    <row r="15" spans="2:26" s="466" customFormat="1" ht="15.95" customHeight="1">
      <c r="B15" s="520"/>
      <c r="C15" s="772" t="s">
        <v>479</v>
      </c>
      <c r="D15" s="773">
        <f>SUM(D13:D14)</f>
        <v>0</v>
      </c>
      <c r="E15" s="773"/>
      <c r="F15" s="773">
        <f>SUM(F13:F14)</f>
        <v>0</v>
      </c>
      <c r="G15" s="773"/>
      <c r="H15" s="773">
        <f>SUM(H13:H14)</f>
        <v>0</v>
      </c>
      <c r="I15" s="773"/>
      <c r="J15" s="773">
        <f>SUM(J13:J14)</f>
        <v>0</v>
      </c>
      <c r="K15" s="773"/>
      <c r="L15" s="773">
        <f>SUM(L13:L14)</f>
        <v>0</v>
      </c>
      <c r="M15" s="773"/>
      <c r="N15" s="773">
        <f>SUM(N13:N14)</f>
        <v>0</v>
      </c>
      <c r="O15" s="773"/>
      <c r="P15" s="773">
        <f>SUM(P13:P14)</f>
        <v>2</v>
      </c>
      <c r="Q15" s="773"/>
      <c r="R15" s="773">
        <f>SUM(R13:R14)</f>
        <v>0</v>
      </c>
      <c r="S15" s="773"/>
      <c r="T15" s="773">
        <f>SUM(T13:T14)</f>
        <v>2106303</v>
      </c>
      <c r="U15" s="774"/>
      <c r="V15" s="773">
        <f>SUM(V13:V14)</f>
        <v>2106305</v>
      </c>
      <c r="W15" s="774"/>
      <c r="X15" s="523"/>
      <c r="Y15" s="464"/>
      <c r="Z15" s="489"/>
    </row>
    <row r="16" spans="2:26" s="466" customFormat="1" ht="15.95" customHeight="1">
      <c r="B16" s="520"/>
      <c r="C16" s="762"/>
      <c r="D16" s="760"/>
      <c r="E16" s="760"/>
      <c r="F16" s="760"/>
      <c r="G16" s="760"/>
      <c r="H16" s="760"/>
      <c r="I16" s="760"/>
      <c r="J16" s="760"/>
      <c r="K16" s="760"/>
      <c r="L16" s="760"/>
      <c r="M16" s="760"/>
      <c r="N16" s="760"/>
      <c r="O16" s="760"/>
      <c r="P16" s="760"/>
      <c r="Q16" s="760"/>
      <c r="R16" s="760"/>
      <c r="S16" s="760"/>
      <c r="T16" s="472"/>
      <c r="U16" s="472"/>
      <c r="V16" s="472"/>
      <c r="W16" s="472"/>
      <c r="X16" s="523"/>
      <c r="Y16" s="464"/>
    </row>
    <row r="17" spans="2:28" s="466" customFormat="1" ht="15.95" customHeight="1" thickBot="1">
      <c r="B17" s="520"/>
      <c r="C17" s="763" t="s">
        <v>121</v>
      </c>
      <c r="D17" s="760"/>
      <c r="E17" s="760"/>
      <c r="F17" s="760"/>
      <c r="G17" s="760"/>
      <c r="H17" s="760"/>
      <c r="I17" s="760"/>
      <c r="J17" s="760"/>
      <c r="K17" s="760"/>
      <c r="L17" s="760"/>
      <c r="M17" s="760"/>
      <c r="N17" s="760"/>
      <c r="O17" s="760"/>
      <c r="P17" s="760"/>
      <c r="Q17" s="760"/>
      <c r="R17" s="760"/>
      <c r="S17" s="760"/>
      <c r="T17" s="472"/>
      <c r="U17" s="472"/>
      <c r="V17" s="472"/>
      <c r="W17" s="472"/>
      <c r="X17" s="523"/>
      <c r="Y17" s="464"/>
    </row>
    <row r="18" spans="2:28" s="466" customFormat="1" ht="15.95" customHeight="1" thickBot="1">
      <c r="B18" s="520"/>
      <c r="C18" s="780" t="s">
        <v>143</v>
      </c>
      <c r="D18" s="781">
        <f>ROUND('CE_Group 1 (2)'!B13/1000000,0)</f>
        <v>50</v>
      </c>
      <c r="E18" s="781"/>
      <c r="F18" s="781">
        <f>ROUND('CE_Group 1 (2)'!D13/1000000,0)</f>
        <v>0</v>
      </c>
      <c r="G18" s="781"/>
      <c r="H18" s="781">
        <f>ROUND('CE_Group 1 (2)'!F13/1000000,0)</f>
        <v>0</v>
      </c>
      <c r="I18" s="781"/>
      <c r="J18" s="781">
        <f>ROUND('CE_Group 1 (2)'!H13/1000000,0)</f>
        <v>0</v>
      </c>
      <c r="K18" s="781"/>
      <c r="L18" s="781">
        <f>ROUND('CE_Group 1 (2)'!J13/1000000,0)</f>
        <v>0</v>
      </c>
      <c r="M18" s="781"/>
      <c r="N18" s="781">
        <f>ROUND('CE_Group 1 (2)'!L13/1000000,0)</f>
        <v>0</v>
      </c>
      <c r="O18" s="781"/>
      <c r="P18" s="781">
        <f>ROUND('CE_Group 1 (2)'!N13/1000000,0)</f>
        <v>0</v>
      </c>
      <c r="Q18" s="781"/>
      <c r="R18" s="781">
        <f>ROUND('CE_Group 1 (2)'!P13/1000000,0)</f>
        <v>0</v>
      </c>
      <c r="S18" s="781"/>
      <c r="T18" s="781">
        <f>ROUND('CE_Group 1 (2)'!R13/1000000,0)</f>
        <v>-50</v>
      </c>
      <c r="U18" s="506"/>
      <c r="V18" s="506">
        <f t="shared" ref="V18:V21" si="0">SUM(D18:T18)</f>
        <v>0</v>
      </c>
      <c r="W18" s="506"/>
      <c r="X18" s="523"/>
      <c r="Y18" s="464"/>
      <c r="Z18" s="764" t="e">
        <f>BS!M43-CE_Group!#REF!</f>
        <v>#REF!</v>
      </c>
    </row>
    <row r="19" spans="2:28" s="466" customFormat="1" ht="15.95" customHeight="1" thickBot="1">
      <c r="B19" s="520"/>
      <c r="C19" s="780" t="s">
        <v>453</v>
      </c>
      <c r="D19" s="781">
        <f>ROUND('CE_Group 1 (2)'!B14/1000000,0)</f>
        <v>0</v>
      </c>
      <c r="E19" s="781"/>
      <c r="F19" s="781">
        <f>ROUND('CE_Group 1 (2)'!D14/1000000,0)</f>
        <v>0</v>
      </c>
      <c r="G19" s="781"/>
      <c r="H19" s="781">
        <f>ROUND('CE_Group 1 (2)'!F14/1000000,0)</f>
        <v>0</v>
      </c>
      <c r="I19" s="781"/>
      <c r="J19" s="781">
        <f>ROUND('CE_Group 1 (2)'!H14/1000000,0)</f>
        <v>0</v>
      </c>
      <c r="K19" s="781"/>
      <c r="L19" s="781">
        <f>ROUND('CE_Group 1 (2)'!J14/1000000,0)</f>
        <v>0</v>
      </c>
      <c r="M19" s="781"/>
      <c r="N19" s="781">
        <f>ROUND('CE_Group 1 (2)'!L14/1000000,0)</f>
        <v>0</v>
      </c>
      <c r="O19" s="781"/>
      <c r="P19" s="781">
        <f>ROUND('CE_Group 1 (2)'!N14/1000000,0)</f>
        <v>0</v>
      </c>
      <c r="Q19" s="781"/>
      <c r="R19" s="781">
        <f>ROUND('CE_Group 1 (2)'!P14/1000000,0)</f>
        <v>0</v>
      </c>
      <c r="S19" s="781"/>
      <c r="T19" s="781">
        <f>ROUND('CE_Group 1 (2)'!R14/1000000,0)</f>
        <v>0</v>
      </c>
      <c r="U19" s="506"/>
      <c r="V19" s="506">
        <f t="shared" si="0"/>
        <v>0</v>
      </c>
      <c r="W19" s="506"/>
      <c r="X19" s="523"/>
      <c r="Y19" s="464"/>
      <c r="Z19" s="764" t="e">
        <f>BS!M45-SUM(#REF!)</f>
        <v>#REF!</v>
      </c>
    </row>
    <row r="20" spans="2:28" s="466" customFormat="1" ht="15.95" customHeight="1">
      <c r="B20" s="520"/>
      <c r="C20" s="780" t="s">
        <v>122</v>
      </c>
      <c r="D20" s="781">
        <f>ROUND('CE_Group 1 (2)'!B15/1000000,0)</f>
        <v>0</v>
      </c>
      <c r="E20" s="781"/>
      <c r="F20" s="781">
        <f>ROUND('CE_Group 1 (2)'!D15/1000000,0)+1</f>
        <v>34</v>
      </c>
      <c r="G20" s="781"/>
      <c r="H20" s="781">
        <f>ROUND('CE_Group 1 (2)'!F15/1000000,0)</f>
        <v>0</v>
      </c>
      <c r="I20" s="781"/>
      <c r="J20" s="781">
        <f>ROUND('CE_Group 1 (2)'!H15/1000000,0)</f>
        <v>0</v>
      </c>
      <c r="K20" s="781"/>
      <c r="L20" s="781">
        <f>ROUND('CE_Group 1 (2)'!J15/1000000,0)</f>
        <v>88</v>
      </c>
      <c r="M20" s="781"/>
      <c r="N20" s="781">
        <f>ROUND('CE_Group 1 (2)'!L15/1000000,0)</f>
        <v>0</v>
      </c>
      <c r="O20" s="781"/>
      <c r="P20" s="781">
        <f>ROUND('CE_Group 1 (2)'!N15/1000000,0)</f>
        <v>0</v>
      </c>
      <c r="Q20" s="781"/>
      <c r="R20" s="781">
        <f>ROUND('CE_Group 1 (2)'!P15/1000000,0)</f>
        <v>0</v>
      </c>
      <c r="S20" s="781"/>
      <c r="T20" s="781">
        <f>-SUM(D20:R20)</f>
        <v>-122</v>
      </c>
      <c r="U20" s="506"/>
      <c r="V20" s="506">
        <f t="shared" si="0"/>
        <v>0</v>
      </c>
      <c r="W20" s="506"/>
      <c r="X20" s="523"/>
      <c r="Y20" s="464"/>
    </row>
    <row r="21" spans="2:28" s="466" customFormat="1" ht="15.95" customHeight="1">
      <c r="B21" s="520"/>
      <c r="C21" s="762" t="s">
        <v>123</v>
      </c>
      <c r="D21" s="760">
        <f>ROUND('CE_Group 1 (2)'!B16/1000000,0)</f>
        <v>0</v>
      </c>
      <c r="E21" s="760"/>
      <c r="F21" s="760">
        <f>ROUND('CE_Group 1 (2)'!D16/1000000,0)</f>
        <v>0</v>
      </c>
      <c r="G21" s="760"/>
      <c r="H21" s="760">
        <f>ROUND('CE_Group 1 (2)'!F16/1000000,0)</f>
        <v>0</v>
      </c>
      <c r="I21" s="760"/>
      <c r="J21" s="760">
        <f>ROUND('CE_Group 1 (2)'!H16/1000000,0)</f>
        <v>0</v>
      </c>
      <c r="K21" s="760"/>
      <c r="L21" s="760">
        <f>ROUND('CE_Group 1 (2)'!J16/1000000,0)</f>
        <v>0</v>
      </c>
      <c r="M21" s="760"/>
      <c r="N21" s="760">
        <f>ROUND('CE_Group 1 (2)'!L16/1000000,0)</f>
        <v>0</v>
      </c>
      <c r="O21" s="760"/>
      <c r="P21" s="760">
        <f>ROUND('CE_Group 1 (2)'!N16/1000000,0)</f>
        <v>0</v>
      </c>
      <c r="Q21" s="760"/>
      <c r="R21" s="760">
        <f>ROUND('CE_Group 1 (2)'!P16/1000000,0)</f>
        <v>0</v>
      </c>
      <c r="S21" s="760"/>
      <c r="T21" s="760">
        <f>ROUND('CE_Group 1 (2)'!R16/1000000,0)</f>
        <v>0</v>
      </c>
      <c r="U21" s="472"/>
      <c r="V21" s="472">
        <f t="shared" si="0"/>
        <v>0</v>
      </c>
      <c r="W21" s="472"/>
      <c r="X21" s="523"/>
      <c r="Y21" s="464"/>
    </row>
    <row r="22" spans="2:28" s="466" customFormat="1" ht="15.95" customHeight="1">
      <c r="B22" s="520"/>
      <c r="C22" s="772" t="s">
        <v>520</v>
      </c>
      <c r="D22" s="775">
        <f>SUM(D18:D21)</f>
        <v>50</v>
      </c>
      <c r="E22" s="775"/>
      <c r="F22" s="775">
        <f>SUM(F18:F21)</f>
        <v>34</v>
      </c>
      <c r="G22" s="775"/>
      <c r="H22" s="775">
        <f>SUM(H18:H21)</f>
        <v>0</v>
      </c>
      <c r="I22" s="775"/>
      <c r="J22" s="775">
        <f>SUM(J18:J21)</f>
        <v>0</v>
      </c>
      <c r="K22" s="775"/>
      <c r="L22" s="775">
        <f>SUM(L18:L21)</f>
        <v>88</v>
      </c>
      <c r="M22" s="775"/>
      <c r="N22" s="775">
        <f>SUM(N18:N21)</f>
        <v>0</v>
      </c>
      <c r="O22" s="775"/>
      <c r="P22" s="775">
        <f>SUM(P18:P21)</f>
        <v>0</v>
      </c>
      <c r="Q22" s="775"/>
      <c r="R22" s="775">
        <f>SUM(R18:R21)</f>
        <v>0</v>
      </c>
      <c r="S22" s="775"/>
      <c r="T22" s="775">
        <f>SUM(T18:T21)</f>
        <v>-172</v>
      </c>
      <c r="U22" s="487"/>
      <c r="V22" s="775">
        <f>SUM(V18:V21)</f>
        <v>0</v>
      </c>
      <c r="W22" s="487"/>
      <c r="X22" s="523"/>
      <c r="Y22" s="464"/>
    </row>
    <row r="23" spans="2:28" s="486" customFormat="1" ht="17.25" thickBot="1">
      <c r="B23" s="526"/>
      <c r="C23" s="768" t="s">
        <v>478</v>
      </c>
      <c r="D23" s="765">
        <f>D11+D15+D22</f>
        <v>12586</v>
      </c>
      <c r="E23" s="765"/>
      <c r="F23" s="765">
        <f>F11+F15+F22</f>
        <v>894</v>
      </c>
      <c r="G23" s="765"/>
      <c r="H23" s="765">
        <f>H11+H15+H22</f>
        <v>300</v>
      </c>
      <c r="I23" s="765"/>
      <c r="J23" s="765">
        <f>J11+J15+J22</f>
        <v>100</v>
      </c>
      <c r="K23" s="765"/>
      <c r="L23" s="765">
        <f>L11+L15+L22</f>
        <v>940</v>
      </c>
      <c r="M23" s="765"/>
      <c r="N23" s="765">
        <f>N11+N15+N22</f>
        <v>0</v>
      </c>
      <c r="O23" s="765"/>
      <c r="P23" s="765">
        <f>P11+P15+P22</f>
        <v>-117</v>
      </c>
      <c r="Q23" s="765"/>
      <c r="R23" s="765">
        <f>R11+R15+R22</f>
        <v>0</v>
      </c>
      <c r="S23" s="765"/>
      <c r="T23" s="765">
        <f>T11+T15+T22</f>
        <v>2109855</v>
      </c>
      <c r="U23" s="765"/>
      <c r="V23" s="765">
        <f>V11+V15+V22</f>
        <v>2124558</v>
      </c>
      <c r="W23" s="765"/>
      <c r="X23" s="767"/>
      <c r="Y23" s="758"/>
      <c r="AB23" s="490"/>
    </row>
    <row r="24" spans="2:28" s="486" customFormat="1" ht="16.5">
      <c r="B24" s="526"/>
      <c r="C24" s="755"/>
      <c r="D24" s="756"/>
      <c r="E24" s="756"/>
      <c r="F24" s="756"/>
      <c r="G24" s="756"/>
      <c r="H24" s="756"/>
      <c r="I24" s="756"/>
      <c r="J24" s="756"/>
      <c r="K24" s="756"/>
      <c r="L24" s="756"/>
      <c r="M24" s="756"/>
      <c r="N24" s="756"/>
      <c r="O24" s="756"/>
      <c r="P24" s="756"/>
      <c r="Q24" s="756"/>
      <c r="R24" s="756"/>
      <c r="S24" s="756"/>
      <c r="T24" s="484"/>
      <c r="U24" s="484"/>
      <c r="V24" s="484"/>
      <c r="W24" s="484"/>
      <c r="X24" s="767"/>
      <c r="Y24" s="758"/>
    </row>
    <row r="25" spans="2:28" s="486" customFormat="1" ht="16.5">
      <c r="B25" s="526"/>
      <c r="C25" s="755"/>
      <c r="D25" s="756"/>
      <c r="E25" s="756"/>
      <c r="F25" s="756"/>
      <c r="G25" s="756"/>
      <c r="H25" s="756"/>
      <c r="I25" s="756"/>
      <c r="J25" s="756"/>
      <c r="K25" s="756"/>
      <c r="L25" s="756"/>
      <c r="M25" s="756"/>
      <c r="N25" s="756"/>
      <c r="O25" s="756"/>
      <c r="P25" s="756"/>
      <c r="Q25" s="756"/>
      <c r="R25" s="756"/>
      <c r="S25" s="756"/>
      <c r="T25" s="484"/>
      <c r="U25" s="484"/>
      <c r="V25" s="484"/>
      <c r="W25" s="484"/>
      <c r="X25" s="767"/>
      <c r="Y25" s="758"/>
    </row>
    <row r="26" spans="2:28" s="486" customFormat="1" ht="16.5" hidden="1">
      <c r="B26" s="526"/>
      <c r="C26" s="769" t="s">
        <v>500</v>
      </c>
      <c r="D26" s="770">
        <f>ROUND('CE_Group 1 (2)'!B20/1000000,0)</f>
        <v>12586</v>
      </c>
      <c r="E26" s="770"/>
      <c r="F26" s="770">
        <f>ROUND('CE_Group 1 (2)'!D20/1000000,0)</f>
        <v>894</v>
      </c>
      <c r="G26" s="770"/>
      <c r="H26" s="770">
        <f>ROUND('CE_Group 1 (2)'!F20/1000000,0)</f>
        <v>300</v>
      </c>
      <c r="I26" s="770"/>
      <c r="J26" s="770">
        <f>ROUND('CE_Group 1 (2)'!H20/1000000,0)</f>
        <v>100</v>
      </c>
      <c r="K26" s="770"/>
      <c r="L26" s="770">
        <f>ROUND('CE_Group 1 (2)'!J20/1000000,0)</f>
        <v>940</v>
      </c>
      <c r="M26" s="770"/>
      <c r="N26" s="770">
        <f>ROUND('CE_Group 1 (2)'!L20/1000000,0)</f>
        <v>0</v>
      </c>
      <c r="O26" s="770"/>
      <c r="P26" s="770">
        <f>ROUND('CE_Group 1 (2)'!N20/1000000,0)</f>
        <v>-118</v>
      </c>
      <c r="Q26" s="770"/>
      <c r="R26" s="770">
        <f>ROUND('CE_Group 1 (2)'!P20/1000000,0)</f>
        <v>0</v>
      </c>
      <c r="S26" s="770"/>
      <c r="T26" s="770">
        <f>ROUND('CE_Group 1 (2)'!R20/1000000,0)</f>
        <v>5019</v>
      </c>
      <c r="U26" s="771"/>
      <c r="V26" s="770">
        <f>SUM(D26:T26)</f>
        <v>19721</v>
      </c>
      <c r="W26" s="771"/>
      <c r="X26" s="767"/>
      <c r="Y26" s="758"/>
    </row>
    <row r="27" spans="2:28" s="486" customFormat="1" ht="16.5" hidden="1">
      <c r="B27" s="526"/>
      <c r="C27" s="776" t="s">
        <v>499</v>
      </c>
      <c r="D27" s="784"/>
      <c r="E27" s="784"/>
      <c r="F27" s="784"/>
      <c r="G27" s="784"/>
      <c r="H27" s="784"/>
      <c r="I27" s="784"/>
      <c r="J27" s="784"/>
      <c r="K27" s="784"/>
      <c r="L27" s="784"/>
      <c r="M27" s="784"/>
      <c r="N27" s="784"/>
      <c r="O27" s="784"/>
      <c r="P27" s="784"/>
      <c r="Q27" s="784"/>
      <c r="R27" s="784"/>
      <c r="S27" s="784"/>
      <c r="T27" s="784"/>
      <c r="U27" s="785"/>
      <c r="V27" s="779"/>
      <c r="W27" s="785"/>
      <c r="X27" s="523"/>
      <c r="Y27" s="758"/>
    </row>
    <row r="28" spans="2:28" s="486" customFormat="1" ht="16.5" hidden="1">
      <c r="B28" s="526"/>
      <c r="C28" s="780" t="s">
        <v>433</v>
      </c>
      <c r="D28" s="781">
        <f>ROUND('CE_Group 1 (2)'!B22/1000000,0)</f>
        <v>0</v>
      </c>
      <c r="E28" s="786"/>
      <c r="F28" s="781">
        <f>ROUND('CE_Group 1 (2)'!D22/1000000,0)</f>
        <v>0</v>
      </c>
      <c r="G28" s="786"/>
      <c r="H28" s="781">
        <f>ROUND('CE_Group 1 (2)'!F22/1000000,0)</f>
        <v>0</v>
      </c>
      <c r="I28" s="786"/>
      <c r="J28" s="781">
        <f>ROUND('CE_Group 1 (2)'!H22/1000000,0)</f>
        <v>0</v>
      </c>
      <c r="K28" s="786"/>
      <c r="L28" s="781">
        <f>ROUND('CE_Group 1 (2)'!J22/1000000,0)</f>
        <v>0</v>
      </c>
      <c r="M28" s="786"/>
      <c r="N28" s="781">
        <f>ROUND('CE_Group 1 (2)'!L22/1000000,0)</f>
        <v>0</v>
      </c>
      <c r="O28" s="786"/>
      <c r="P28" s="781">
        <f>ROUND('CE_Group 1 (2)'!N22/1000000,0)</f>
        <v>0</v>
      </c>
      <c r="Q28" s="786"/>
      <c r="R28" s="781">
        <f>ROUND('CE_Group 1 (2)'!P22/1000000,0)</f>
        <v>0</v>
      </c>
      <c r="S28" s="786"/>
      <c r="T28" s="781">
        <f>ROUND('CE_Group 1 (2)'!R22/1000000,0)</f>
        <v>1996</v>
      </c>
      <c r="U28" s="787"/>
      <c r="V28" s="506">
        <f>SUM(D28:T28)</f>
        <v>1996</v>
      </c>
      <c r="W28" s="787"/>
      <c r="X28" s="523"/>
      <c r="Y28" s="758"/>
    </row>
    <row r="29" spans="2:28" s="486" customFormat="1" ht="16.5" hidden="1">
      <c r="B29" s="526"/>
      <c r="C29" s="1157" t="s">
        <v>120</v>
      </c>
      <c r="D29" s="1158">
        <f>ROUND('CE_Group 1 (2)'!B23/1000000,0)</f>
        <v>0</v>
      </c>
      <c r="E29" s="1160"/>
      <c r="F29" s="1158">
        <f>ROUND('CE_Group 1 (2)'!D23/1000000,0)</f>
        <v>0</v>
      </c>
      <c r="G29" s="1160"/>
      <c r="H29" s="1158">
        <f>ROUND('CE_Group 1 (2)'!F23/1000000,0)</f>
        <v>0</v>
      </c>
      <c r="I29" s="1160"/>
      <c r="J29" s="1158">
        <f>ROUND('CE_Group 1 (2)'!H23/1000000,0)</f>
        <v>0</v>
      </c>
      <c r="K29" s="1160"/>
      <c r="L29" s="1158">
        <f>ROUND('CE_Group 1 (2)'!J23/1000000,0)</f>
        <v>0</v>
      </c>
      <c r="M29" s="1160"/>
      <c r="N29" s="1158">
        <f>ROUND('CE_Group 1 (2)'!L23/1000000,0)</f>
        <v>0</v>
      </c>
      <c r="O29" s="1160"/>
      <c r="P29" s="1158">
        <f>ROUND('CE_Group 1 (2)'!N23/1000000,0)-1</f>
        <v>65</v>
      </c>
      <c r="Q29" s="1160"/>
      <c r="R29" s="1158">
        <f>ROUND('CE_Group 1 (2)'!P23/1000000,0)</f>
        <v>1</v>
      </c>
      <c r="S29" s="1160"/>
      <c r="T29" s="1158">
        <f>ROUND('CE_Group 1 (2)'!R23/1000000,0)+1</f>
        <v>-40</v>
      </c>
      <c r="U29" s="1161"/>
      <c r="V29" s="1159">
        <f>SUM(D29:T29)</f>
        <v>26</v>
      </c>
      <c r="W29" s="1161"/>
      <c r="X29" s="523"/>
      <c r="Y29" s="758"/>
    </row>
    <row r="30" spans="2:28" s="486" customFormat="1" ht="16.5" hidden="1">
      <c r="B30" s="526"/>
      <c r="C30" s="772" t="s">
        <v>499</v>
      </c>
      <c r="D30" s="773">
        <f>SUM(D28:D29)</f>
        <v>0</v>
      </c>
      <c r="E30" s="775"/>
      <c r="F30" s="773">
        <f>SUM(F28:F29)</f>
        <v>0</v>
      </c>
      <c r="G30" s="775"/>
      <c r="H30" s="773">
        <f>SUM(H28:H29)</f>
        <v>0</v>
      </c>
      <c r="I30" s="775"/>
      <c r="J30" s="773">
        <f>SUM(J28:J29)</f>
        <v>0</v>
      </c>
      <c r="K30" s="775"/>
      <c r="L30" s="773">
        <f>SUM(L28:L29)</f>
        <v>0</v>
      </c>
      <c r="M30" s="775"/>
      <c r="N30" s="773">
        <f>SUM(N28:N29)</f>
        <v>0</v>
      </c>
      <c r="O30" s="775"/>
      <c r="P30" s="773">
        <f>SUM(P28:P29)</f>
        <v>65</v>
      </c>
      <c r="Q30" s="775"/>
      <c r="R30" s="773">
        <f>SUM(R28:R29)</f>
        <v>1</v>
      </c>
      <c r="S30" s="775"/>
      <c r="T30" s="773">
        <f>SUM(T28:T29)</f>
        <v>1956</v>
      </c>
      <c r="U30" s="487"/>
      <c r="V30" s="773">
        <f>SUM(V28:V29)</f>
        <v>2022</v>
      </c>
      <c r="W30" s="487"/>
      <c r="X30" s="523"/>
      <c r="Y30" s="758"/>
    </row>
    <row r="31" spans="2:28" s="486" customFormat="1" ht="16.5" hidden="1">
      <c r="B31" s="526"/>
      <c r="C31" s="762"/>
      <c r="D31" s="760"/>
      <c r="E31" s="756"/>
      <c r="F31" s="760"/>
      <c r="G31" s="756"/>
      <c r="H31" s="760"/>
      <c r="I31" s="756"/>
      <c r="J31" s="760"/>
      <c r="K31" s="756"/>
      <c r="L31" s="760"/>
      <c r="M31" s="756"/>
      <c r="N31" s="760"/>
      <c r="O31" s="756"/>
      <c r="P31" s="760"/>
      <c r="Q31" s="756"/>
      <c r="R31" s="760"/>
      <c r="S31" s="756"/>
      <c r="T31" s="760"/>
      <c r="U31" s="484"/>
      <c r="V31" s="472"/>
      <c r="W31" s="484"/>
      <c r="X31" s="523"/>
      <c r="Y31" s="758"/>
    </row>
    <row r="32" spans="2:28" s="486" customFormat="1" ht="17.25" hidden="1" thickBot="1">
      <c r="B32" s="526"/>
      <c r="C32" s="1162" t="s">
        <v>121</v>
      </c>
      <c r="D32" s="781"/>
      <c r="E32" s="786"/>
      <c r="F32" s="781"/>
      <c r="G32" s="786"/>
      <c r="H32" s="781"/>
      <c r="I32" s="786"/>
      <c r="J32" s="781"/>
      <c r="K32" s="786"/>
      <c r="L32" s="781"/>
      <c r="M32" s="786"/>
      <c r="N32" s="781"/>
      <c r="O32" s="786"/>
      <c r="P32" s="781"/>
      <c r="Q32" s="786"/>
      <c r="R32" s="781"/>
      <c r="S32" s="786"/>
      <c r="T32" s="781"/>
      <c r="U32" s="787"/>
      <c r="V32" s="506"/>
      <c r="W32" s="787"/>
      <c r="X32" s="523"/>
      <c r="Y32" s="758"/>
    </row>
    <row r="33" spans="2:28" s="486" customFormat="1" ht="17.25" hidden="1" thickBot="1">
      <c r="B33" s="526"/>
      <c r="C33" s="780" t="s">
        <v>143</v>
      </c>
      <c r="D33" s="781">
        <f>ROUND('CE_Group 1 (2)'!B26/1000000,0)</f>
        <v>150</v>
      </c>
      <c r="E33" s="786"/>
      <c r="F33" s="781">
        <f>ROUND('CE_Group 1 (2)'!D26/1000000,0)</f>
        <v>0</v>
      </c>
      <c r="G33" s="786"/>
      <c r="H33" s="781">
        <f>ROUND('CE_Group 1 (2)'!F26/1000000,0)</f>
        <v>0</v>
      </c>
      <c r="I33" s="786"/>
      <c r="J33" s="781">
        <f>ROUND('CE_Group 1 (2)'!H26/1000000,0)</f>
        <v>0</v>
      </c>
      <c r="K33" s="786"/>
      <c r="L33" s="781">
        <f>ROUND('CE_Group 1 (2)'!J26/1000000,0)</f>
        <v>0</v>
      </c>
      <c r="M33" s="786"/>
      <c r="N33" s="781">
        <f>ROUND('CE_Group 1 (2)'!L26/1000000,0)</f>
        <v>0</v>
      </c>
      <c r="O33" s="786"/>
      <c r="P33" s="781">
        <f>ROUND('CE_Group 1 (2)'!N26/1000000,0)</f>
        <v>0</v>
      </c>
      <c r="Q33" s="786"/>
      <c r="R33" s="781">
        <f>ROUND('CE_Group 1 (2)'!P26/1000000,0)</f>
        <v>0</v>
      </c>
      <c r="S33" s="786"/>
      <c r="T33" s="781">
        <f>ROUND('CE_Group 1 (2)'!R26/1000000,0)</f>
        <v>-150</v>
      </c>
      <c r="U33" s="787"/>
      <c r="V33" s="506">
        <f t="shared" ref="V33:V36" si="1">SUM(D33:T33)</f>
        <v>0</v>
      </c>
      <c r="W33" s="787"/>
      <c r="X33" s="523"/>
      <c r="Y33" s="758"/>
      <c r="Z33" s="766">
        <f>D38-BS!M42</f>
        <v>-12623337</v>
      </c>
    </row>
    <row r="34" spans="2:28" s="486" customFormat="1" ht="17.25" hidden="1" thickBot="1">
      <c r="B34" s="526"/>
      <c r="C34" s="780" t="s">
        <v>453</v>
      </c>
      <c r="D34" s="781">
        <f>ROUND('CE_Group 1 (2)'!B27/1000000,0)</f>
        <v>0</v>
      </c>
      <c r="E34" s="786"/>
      <c r="F34" s="781">
        <f>ROUND('CE_Group 1 (2)'!D27/1000000,0)</f>
        <v>0</v>
      </c>
      <c r="G34" s="786"/>
      <c r="H34" s="781">
        <f>ROUND('CE_Group 1 (2)'!F27/1000000,0)</f>
        <v>0</v>
      </c>
      <c r="I34" s="786"/>
      <c r="J34" s="781">
        <f>ROUND('CE_Group 1 (2)'!H27/1000000,0)</f>
        <v>0</v>
      </c>
      <c r="K34" s="786"/>
      <c r="L34" s="781">
        <f>ROUND('CE_Group 1 (2)'!J27/1000000,0)</f>
        <v>0</v>
      </c>
      <c r="M34" s="786"/>
      <c r="N34" s="781">
        <f>ROUND('CE_Group 1 (2)'!L27/1000000,0)</f>
        <v>0</v>
      </c>
      <c r="O34" s="786"/>
      <c r="P34" s="781">
        <f>ROUND('CE_Group 1 (2)'!N27/1000000,0)</f>
        <v>0</v>
      </c>
      <c r="Q34" s="786"/>
      <c r="R34" s="781">
        <f>ROUND('CE_Group 1 (2)'!P27/1000000,0)</f>
        <v>0</v>
      </c>
      <c r="S34" s="786"/>
      <c r="T34" s="781">
        <f>ROUND('CE_Group 1 (2)'!R27/1000000,0)</f>
        <v>0</v>
      </c>
      <c r="U34" s="787"/>
      <c r="V34" s="506">
        <f t="shared" si="1"/>
        <v>0</v>
      </c>
      <c r="W34" s="787"/>
      <c r="X34" s="523"/>
      <c r="Y34" s="758"/>
      <c r="Z34" s="766">
        <f>F38-BS!M43</f>
        <v>-929482</v>
      </c>
    </row>
    <row r="35" spans="2:28" s="486" customFormat="1" ht="17.25" hidden="1" thickBot="1">
      <c r="B35" s="526"/>
      <c r="C35" s="780" t="s">
        <v>122</v>
      </c>
      <c r="D35" s="781">
        <f>ROUND('CE_Group 1 (2)'!B28/1000000,0)</f>
        <v>0</v>
      </c>
      <c r="E35" s="786"/>
      <c r="F35" s="781">
        <f>ROUND('CE_Group 1 (2)'!D28/1000000,0)-1</f>
        <v>122</v>
      </c>
      <c r="G35" s="786"/>
      <c r="H35" s="781">
        <f>ROUND('CE_Group 1 (2)'!F28/1000000,0)</f>
        <v>0</v>
      </c>
      <c r="I35" s="786"/>
      <c r="J35" s="781">
        <f>ROUND('CE_Group 1 (2)'!H28/1000000,0)</f>
        <v>0</v>
      </c>
      <c r="K35" s="786"/>
      <c r="L35" s="781">
        <f>ROUND('CE_Group 1 (2)'!J28/1000000,0)</f>
        <v>157</v>
      </c>
      <c r="M35" s="786"/>
      <c r="N35" s="781">
        <f>ROUND('CE_Group 1 (2)'!L28/1000000,0)</f>
        <v>0</v>
      </c>
      <c r="O35" s="786"/>
      <c r="P35" s="781">
        <f>ROUND('CE_Group 1 (2)'!N28/1000000,0)</f>
        <v>0</v>
      </c>
      <c r="Q35" s="786"/>
      <c r="R35" s="781">
        <f>ROUND('CE_Group 1 (2)'!P28/1000000,0)</f>
        <v>0</v>
      </c>
      <c r="S35" s="786"/>
      <c r="T35" s="781">
        <f>ROUND('CE_Group 1 (2)'!R28/1000000,0)</f>
        <v>-280</v>
      </c>
      <c r="U35" s="787"/>
      <c r="V35" s="506">
        <f t="shared" si="1"/>
        <v>-1</v>
      </c>
      <c r="W35" s="787"/>
      <c r="X35" s="523"/>
      <c r="Y35" s="758"/>
      <c r="Z35" s="766">
        <f>BS!M44-CE_Group!T38</f>
        <v>4033225</v>
      </c>
    </row>
    <row r="36" spans="2:28" s="486" customFormat="1" ht="17.25" hidden="1" thickBot="1">
      <c r="B36" s="526"/>
      <c r="C36" s="1157" t="s">
        <v>123</v>
      </c>
      <c r="D36" s="1158">
        <f>ROUND('CE_Group 1 (2)'!B29/1000000,0)</f>
        <v>0</v>
      </c>
      <c r="E36" s="1160"/>
      <c r="F36" s="1158">
        <f>ROUND('CE_Group 1 (2)'!D29/1000000,0)</f>
        <v>0</v>
      </c>
      <c r="G36" s="1160"/>
      <c r="H36" s="1158">
        <f>ROUND('CE_Group 1 (2)'!F29/1000000,0)</f>
        <v>0</v>
      </c>
      <c r="I36" s="1160"/>
      <c r="J36" s="1158">
        <f>ROUND('CE_Group 1 (2)'!H29/1000000,0)</f>
        <v>0</v>
      </c>
      <c r="K36" s="1160"/>
      <c r="L36" s="1158">
        <f>ROUND('CE_Group 1 (2)'!J29/1000000,0)</f>
        <v>0</v>
      </c>
      <c r="M36" s="1160"/>
      <c r="N36" s="1158">
        <f>ROUND('CE_Group 1 (2)'!L29/1000000,0)</f>
        <v>0</v>
      </c>
      <c r="O36" s="1160"/>
      <c r="P36" s="1158">
        <f>ROUND('CE_Group 1 (2)'!N29/1000000,0)</f>
        <v>0</v>
      </c>
      <c r="Q36" s="1160"/>
      <c r="R36" s="1158">
        <f>ROUND('CE_Group 1 (2)'!P29/1000000,0)</f>
        <v>0</v>
      </c>
      <c r="S36" s="1160"/>
      <c r="T36" s="1158">
        <f>ROUND('CE_Group 1 (2)'!R29/1000000,0)</f>
        <v>-1975</v>
      </c>
      <c r="U36" s="1161"/>
      <c r="V36" s="1159">
        <f t="shared" si="1"/>
        <v>-1975</v>
      </c>
      <c r="W36" s="1161"/>
      <c r="X36" s="523"/>
      <c r="Y36" s="758"/>
      <c r="Z36" s="766">
        <f>SUM(H38:R38)-BS!M45</f>
        <v>-1326230</v>
      </c>
      <c r="AA36" s="766">
        <f>V38-BS!M46</f>
        <v>-18912274</v>
      </c>
    </row>
    <row r="37" spans="2:28" s="486" customFormat="1" ht="16.5" hidden="1">
      <c r="B37" s="526"/>
      <c r="C37" s="772" t="s">
        <v>520</v>
      </c>
      <c r="D37" s="775">
        <f>SUM(D33:D36)</f>
        <v>150</v>
      </c>
      <c r="E37" s="775"/>
      <c r="F37" s="775">
        <f>SUM(F33:F36)</f>
        <v>122</v>
      </c>
      <c r="G37" s="775"/>
      <c r="H37" s="775">
        <f>SUM(H33:H36)</f>
        <v>0</v>
      </c>
      <c r="I37" s="775"/>
      <c r="J37" s="775">
        <f>SUM(J33:J36)</f>
        <v>0</v>
      </c>
      <c r="K37" s="775"/>
      <c r="L37" s="775">
        <f>SUM(L33:L36)</f>
        <v>157</v>
      </c>
      <c r="M37" s="775"/>
      <c r="N37" s="775">
        <f>SUM(N33:N36)</f>
        <v>0</v>
      </c>
      <c r="O37" s="775"/>
      <c r="P37" s="775">
        <f>SUM(P33:P36)</f>
        <v>0</v>
      </c>
      <c r="Q37" s="775"/>
      <c r="R37" s="775">
        <f>SUM(R33:R36)</f>
        <v>0</v>
      </c>
      <c r="S37" s="775"/>
      <c r="T37" s="775">
        <f>SUM(T33:T36)</f>
        <v>-2405</v>
      </c>
      <c r="U37" s="487"/>
      <c r="V37" s="775">
        <f>SUM(V33:V36)</f>
        <v>-1976</v>
      </c>
      <c r="W37" s="487"/>
      <c r="X37" s="767"/>
      <c r="Y37" s="758"/>
    </row>
    <row r="38" spans="2:28" s="486" customFormat="1" ht="17.25" hidden="1" thickBot="1">
      <c r="B38" s="526"/>
      <c r="C38" s="768" t="s">
        <v>432</v>
      </c>
      <c r="D38" s="765">
        <f>D26+D30+D37</f>
        <v>12736</v>
      </c>
      <c r="E38" s="765"/>
      <c r="F38" s="765">
        <f>F26+F30+F37</f>
        <v>1016</v>
      </c>
      <c r="G38" s="765"/>
      <c r="H38" s="765">
        <f>H26+H30+H37</f>
        <v>300</v>
      </c>
      <c r="I38" s="765"/>
      <c r="J38" s="765">
        <f>J26+J30+J37</f>
        <v>100</v>
      </c>
      <c r="K38" s="765"/>
      <c r="L38" s="765">
        <f>L26+L30+L37</f>
        <v>1097</v>
      </c>
      <c r="M38" s="765"/>
      <c r="N38" s="765">
        <f>N26+N30+N37</f>
        <v>0</v>
      </c>
      <c r="O38" s="765"/>
      <c r="P38" s="765">
        <f>P26+P30+P37</f>
        <v>-53</v>
      </c>
      <c r="Q38" s="765"/>
      <c r="R38" s="765">
        <f>R26+R30+R37</f>
        <v>1</v>
      </c>
      <c r="S38" s="765"/>
      <c r="T38" s="765">
        <f>T26+T30+T37</f>
        <v>4570</v>
      </c>
      <c r="U38" s="765"/>
      <c r="V38" s="765">
        <f>V26+V30+V37</f>
        <v>19767</v>
      </c>
      <c r="W38" s="765"/>
      <c r="X38" s="767"/>
      <c r="Y38" s="758"/>
    </row>
    <row r="39" spans="2:28" s="486" customFormat="1" ht="16.5" hidden="1">
      <c r="B39" s="526"/>
      <c r="C39" s="755"/>
      <c r="D39" s="756"/>
      <c r="E39" s="756"/>
      <c r="F39" s="756"/>
      <c r="G39" s="756"/>
      <c r="H39" s="756"/>
      <c r="I39" s="756"/>
      <c r="J39" s="756"/>
      <c r="K39" s="756"/>
      <c r="L39" s="756"/>
      <c r="M39" s="756"/>
      <c r="N39" s="756"/>
      <c r="O39" s="756"/>
      <c r="P39" s="756"/>
      <c r="Q39" s="756"/>
      <c r="R39" s="756"/>
      <c r="S39" s="756"/>
      <c r="T39" s="484"/>
      <c r="U39" s="484"/>
      <c r="V39" s="484"/>
      <c r="W39" s="484"/>
      <c r="X39" s="767"/>
      <c r="Y39" s="758"/>
    </row>
    <row r="40" spans="2:28" s="486" customFormat="1" ht="16.5" hidden="1">
      <c r="B40" s="526"/>
      <c r="C40" s="755"/>
      <c r="D40" s="756"/>
      <c r="E40" s="756"/>
      <c r="F40" s="756"/>
      <c r="G40" s="756"/>
      <c r="H40" s="756"/>
      <c r="I40" s="756"/>
      <c r="J40" s="756"/>
      <c r="K40" s="756"/>
      <c r="L40" s="756"/>
      <c r="M40" s="756"/>
      <c r="N40" s="756"/>
      <c r="O40" s="756"/>
      <c r="P40" s="756"/>
      <c r="Q40" s="756"/>
      <c r="R40" s="756"/>
      <c r="S40" s="756"/>
      <c r="T40" s="484"/>
      <c r="U40" s="484"/>
      <c r="V40" s="484"/>
      <c r="W40" s="484"/>
      <c r="X40" s="767"/>
      <c r="Y40" s="758"/>
    </row>
    <row r="41" spans="2:28" s="486" customFormat="1" ht="15.95" customHeight="1">
      <c r="B41" s="526"/>
      <c r="C41" s="769" t="s">
        <v>481</v>
      </c>
      <c r="D41" s="770">
        <f>D38</f>
        <v>12736</v>
      </c>
      <c r="E41" s="770"/>
      <c r="F41" s="770">
        <f>F38</f>
        <v>1016</v>
      </c>
      <c r="G41" s="770"/>
      <c r="H41" s="770">
        <f>H38</f>
        <v>300</v>
      </c>
      <c r="I41" s="770"/>
      <c r="J41" s="770">
        <f>J38</f>
        <v>100</v>
      </c>
      <c r="K41" s="770"/>
      <c r="L41" s="770">
        <f>L38</f>
        <v>1097</v>
      </c>
      <c r="M41" s="770"/>
      <c r="N41" s="770">
        <f>N38</f>
        <v>0</v>
      </c>
      <c r="O41" s="770"/>
      <c r="P41" s="770">
        <f>P38</f>
        <v>-53</v>
      </c>
      <c r="Q41" s="770"/>
      <c r="R41" s="770">
        <f>R38</f>
        <v>1</v>
      </c>
      <c r="S41" s="770"/>
      <c r="T41" s="770">
        <f>T38</f>
        <v>4570</v>
      </c>
      <c r="U41" s="770"/>
      <c r="V41" s="770">
        <f>V38</f>
        <v>19767</v>
      </c>
      <c r="W41" s="770"/>
      <c r="X41" s="767"/>
      <c r="Y41" s="758"/>
      <c r="Z41" s="490"/>
      <c r="AB41" s="490"/>
    </row>
    <row r="42" spans="2:28" s="466" customFormat="1" ht="15.95" customHeight="1">
      <c r="B42" s="520"/>
      <c r="C42" s="755" t="s">
        <v>476</v>
      </c>
      <c r="D42" s="759"/>
      <c r="E42" s="759"/>
      <c r="F42" s="760"/>
      <c r="G42" s="760"/>
      <c r="H42" s="760"/>
      <c r="I42" s="760"/>
      <c r="J42" s="760"/>
      <c r="K42" s="760"/>
      <c r="L42" s="760"/>
      <c r="M42" s="760"/>
      <c r="N42" s="760"/>
      <c r="O42" s="760"/>
      <c r="P42" s="760"/>
      <c r="Q42" s="760"/>
      <c r="R42" s="760"/>
      <c r="S42" s="760"/>
      <c r="T42" s="472"/>
      <c r="U42" s="472"/>
      <c r="V42" s="472"/>
      <c r="W42" s="472"/>
      <c r="X42" s="523"/>
      <c r="Y42" s="464"/>
    </row>
    <row r="43" spans="2:28" s="466" customFormat="1" ht="15.95" customHeight="1">
      <c r="B43" s="520"/>
      <c r="C43" s="780" t="s">
        <v>483</v>
      </c>
      <c r="D43" s="781">
        <f>ROUND('CE_Group 1 (2)'!B36/1000000,0)</f>
        <v>0</v>
      </c>
      <c r="E43" s="781"/>
      <c r="F43" s="781">
        <f>ROUND('CE_Group 1 (2)'!D36/1000000,0)</f>
        <v>0</v>
      </c>
      <c r="G43" s="781"/>
      <c r="H43" s="781">
        <f>ROUND('CE_Group 1 (2)'!F36/1000000,0)</f>
        <v>0</v>
      </c>
      <c r="I43" s="781"/>
      <c r="J43" s="781">
        <f>ROUND('CE_Group 1 (2)'!H36/1000000,0)</f>
        <v>0</v>
      </c>
      <c r="K43" s="781"/>
      <c r="L43" s="781">
        <f>ROUND('CE_Group 1 (2)'!J36/1000000,0)</f>
        <v>0</v>
      </c>
      <c r="M43" s="781"/>
      <c r="N43" s="781">
        <f>ROUND('CE_Group 1 (2)'!L36/1000000,0)</f>
        <v>0</v>
      </c>
      <c r="O43" s="781"/>
      <c r="P43" s="781">
        <f>ROUND('CE_Group 1 (2)'!N36/1000000,0)</f>
        <v>0</v>
      </c>
      <c r="Q43" s="781"/>
      <c r="R43" s="781">
        <f>ROUND('CE_Group 1 (2)'!P36/1000000,0)</f>
        <v>0</v>
      </c>
      <c r="S43" s="781"/>
      <c r="T43" s="781">
        <f>'3 (OCI)'!K10</f>
        <v>1835261</v>
      </c>
      <c r="U43" s="506"/>
      <c r="V43" s="506">
        <f t="shared" ref="V43:V44" si="2">SUM(D43:T43)</f>
        <v>1835261</v>
      </c>
      <c r="W43" s="506"/>
      <c r="X43" s="523"/>
      <c r="Y43" s="464"/>
      <c r="Z43" s="489"/>
    </row>
    <row r="44" spans="2:28" s="466" customFormat="1" ht="15.95" customHeight="1">
      <c r="B44" s="520"/>
      <c r="C44" s="762" t="s">
        <v>120</v>
      </c>
      <c r="D44" s="760">
        <f>ROUND('CE_Group 1 (2)'!B37/1000000,0)</f>
        <v>0</v>
      </c>
      <c r="E44" s="760"/>
      <c r="F44" s="760">
        <f>ROUND('CE_Group 1 (2)'!D37/1000000,0)</f>
        <v>0</v>
      </c>
      <c r="G44" s="760"/>
      <c r="H44" s="760">
        <f>ROUND('CE_Group 1 (2)'!F37/1000000,0)</f>
        <v>0</v>
      </c>
      <c r="I44" s="760"/>
      <c r="J44" s="760">
        <f>ROUND('CE_Group 1 (2)'!H37/1000000,0)</f>
        <v>0</v>
      </c>
      <c r="K44" s="760"/>
      <c r="L44" s="760">
        <f>ROUND('CE_Group 1 (2)'!J37/1000000,0)</f>
        <v>0</v>
      </c>
      <c r="M44" s="760"/>
      <c r="N44" s="760">
        <f>ROUND('CE_Group 1 (2)'!L37/1000000,0)</f>
        <v>0</v>
      </c>
      <c r="O44" s="760"/>
      <c r="P44" s="760">
        <f>ROUND('CE_Group 1 (2)'!N37/1000000,0)+1</f>
        <v>160</v>
      </c>
      <c r="Q44" s="760"/>
      <c r="R44" s="760">
        <f>ROUND('CE_Group 1 (2)'!P37/1000000,0)</f>
        <v>-59</v>
      </c>
      <c r="S44" s="760"/>
      <c r="T44" s="760">
        <f>ROUND('CE_Group 1 (2)'!R37/1000000,0)</f>
        <v>0</v>
      </c>
      <c r="U44" s="472"/>
      <c r="V44" s="472">
        <f t="shared" si="2"/>
        <v>101</v>
      </c>
      <c r="W44" s="472"/>
      <c r="X44" s="523"/>
      <c r="Y44" s="464"/>
      <c r="Z44" s="489"/>
    </row>
    <row r="45" spans="2:28" s="466" customFormat="1" ht="15.95" customHeight="1">
      <c r="B45" s="520"/>
      <c r="C45" s="772" t="s">
        <v>476</v>
      </c>
      <c r="D45" s="773">
        <f>SUM(D43:D44)</f>
        <v>0</v>
      </c>
      <c r="E45" s="773"/>
      <c r="F45" s="773">
        <f>SUM(F43:F44)</f>
        <v>0</v>
      </c>
      <c r="G45" s="773"/>
      <c r="H45" s="773">
        <f>SUM(H43:H44)</f>
        <v>0</v>
      </c>
      <c r="I45" s="773"/>
      <c r="J45" s="773">
        <f>SUM(J43:J44)</f>
        <v>0</v>
      </c>
      <c r="K45" s="773"/>
      <c r="L45" s="773">
        <f>SUM(L43:L44)</f>
        <v>0</v>
      </c>
      <c r="M45" s="773"/>
      <c r="N45" s="773">
        <f>SUM(N43:N44)</f>
        <v>0</v>
      </c>
      <c r="O45" s="773"/>
      <c r="P45" s="773">
        <f>SUM(P43:P44)</f>
        <v>160</v>
      </c>
      <c r="Q45" s="773"/>
      <c r="R45" s="773">
        <f>SUM(R43:R44)</f>
        <v>-59</v>
      </c>
      <c r="S45" s="773"/>
      <c r="T45" s="773">
        <f>SUM(T43:T44)</f>
        <v>1835261</v>
      </c>
      <c r="U45" s="774"/>
      <c r="V45" s="773">
        <f>SUM(V43:V44)</f>
        <v>1835362</v>
      </c>
      <c r="W45" s="774"/>
      <c r="X45" s="523"/>
      <c r="Y45" s="464"/>
      <c r="Z45" s="489"/>
    </row>
    <row r="46" spans="2:28" s="466" customFormat="1" ht="15.95" customHeight="1">
      <c r="B46" s="520"/>
      <c r="C46" s="762"/>
      <c r="D46" s="760"/>
      <c r="E46" s="760"/>
      <c r="F46" s="760"/>
      <c r="G46" s="760"/>
      <c r="H46" s="760"/>
      <c r="I46" s="760"/>
      <c r="J46" s="760"/>
      <c r="K46" s="760"/>
      <c r="L46" s="760"/>
      <c r="M46" s="760"/>
      <c r="N46" s="760"/>
      <c r="O46" s="760"/>
      <c r="P46" s="760"/>
      <c r="Q46" s="760"/>
      <c r="R46" s="760"/>
      <c r="S46" s="760"/>
      <c r="T46" s="472"/>
      <c r="U46" s="472"/>
      <c r="V46" s="472"/>
      <c r="W46" s="472"/>
      <c r="X46" s="523"/>
      <c r="Y46" s="464"/>
    </row>
    <row r="47" spans="2:28" s="466" customFormat="1" ht="15.95" customHeight="1">
      <c r="B47" s="520"/>
      <c r="C47" s="763" t="s">
        <v>121</v>
      </c>
      <c r="D47" s="760"/>
      <c r="E47" s="760"/>
      <c r="F47" s="760"/>
      <c r="G47" s="760"/>
      <c r="H47" s="760"/>
      <c r="I47" s="760"/>
      <c r="J47" s="760"/>
      <c r="K47" s="760"/>
      <c r="L47" s="760"/>
      <c r="M47" s="760"/>
      <c r="N47" s="760"/>
      <c r="O47" s="760"/>
      <c r="P47" s="760"/>
      <c r="Q47" s="760"/>
      <c r="R47" s="760"/>
      <c r="S47" s="760"/>
      <c r="T47" s="472"/>
      <c r="U47" s="472"/>
      <c r="V47" s="472"/>
      <c r="W47" s="472"/>
      <c r="X47" s="523"/>
      <c r="Y47" s="464"/>
    </row>
    <row r="48" spans="2:28" s="466" customFormat="1" ht="15.95" customHeight="1" thickBot="1">
      <c r="B48" s="520"/>
      <c r="C48" s="780" t="s">
        <v>143</v>
      </c>
      <c r="D48" s="781">
        <f>ROUND('CE_Group 1 (2)'!B40/1000000,0)</f>
        <v>50</v>
      </c>
      <c r="E48" s="781"/>
      <c r="F48" s="781">
        <f>ROUND('CE_Group 1 (2)'!D40/1000000,0)</f>
        <v>0</v>
      </c>
      <c r="G48" s="781"/>
      <c r="H48" s="781">
        <f>ROUND('CE_Group 1 (2)'!F40/1000000,0)</f>
        <v>0</v>
      </c>
      <c r="I48" s="781"/>
      <c r="J48" s="781">
        <f>ROUND('CE_Group 1 (2)'!H40/1000000,0)</f>
        <v>0</v>
      </c>
      <c r="K48" s="781"/>
      <c r="L48" s="781">
        <f>ROUND('CE_Group 1 (2)'!J40/1000000,0)</f>
        <v>0</v>
      </c>
      <c r="M48" s="781"/>
      <c r="N48" s="781">
        <f>ROUND('CE_Group 1 (2)'!L40/1000000,0)</f>
        <v>0</v>
      </c>
      <c r="O48" s="781"/>
      <c r="P48" s="781">
        <f>ROUND('CE_Group 1 (2)'!N40/1000000,0)</f>
        <v>0</v>
      </c>
      <c r="Q48" s="781"/>
      <c r="R48" s="781">
        <f>ROUND('CE_Group 1 (2)'!P40/1000000,0)</f>
        <v>0</v>
      </c>
      <c r="S48" s="781"/>
      <c r="T48" s="781">
        <f>ROUND('CE_Group 1 (2)'!R40/1000000,0)</f>
        <v>-50</v>
      </c>
      <c r="U48" s="506"/>
      <c r="V48" s="506">
        <f t="shared" ref="V48:V51" si="3">SUM(D48:T48)</f>
        <v>0</v>
      </c>
      <c r="W48" s="506"/>
      <c r="X48" s="523"/>
      <c r="Y48" s="464"/>
    </row>
    <row r="49" spans="2:28" s="466" customFormat="1" ht="15.95" customHeight="1" thickBot="1">
      <c r="B49" s="520"/>
      <c r="C49" s="780" t="s">
        <v>122</v>
      </c>
      <c r="D49" s="781">
        <f>ROUND('CE_Group 1 (2)'!B41/1000000,0)</f>
        <v>0</v>
      </c>
      <c r="E49" s="781"/>
      <c r="F49" s="781">
        <f>ROUND('CE_Group 1 (2)'!D41/1000000,0)</f>
        <v>34</v>
      </c>
      <c r="G49" s="781"/>
      <c r="H49" s="781">
        <f>ROUND('CE_Group 1 (2)'!F41/1000000,0)</f>
        <v>0</v>
      </c>
      <c r="I49" s="781"/>
      <c r="J49" s="781">
        <f>ROUND('CE_Group 1 (2)'!H41/1000000,0)</f>
        <v>0</v>
      </c>
      <c r="K49" s="781"/>
      <c r="L49" s="781">
        <f>ROUND('CE_Group 1 (2)'!J41/1000000,0)</f>
        <v>28</v>
      </c>
      <c r="M49" s="781">
        <v>0</v>
      </c>
      <c r="N49" s="781">
        <f>ROUND('CE_Group 1 (2)'!L41/1000000,0)</f>
        <v>0</v>
      </c>
      <c r="O49" s="781"/>
      <c r="P49" s="781">
        <f>ROUND('CE_Group 1 (2)'!N41/1000000,0)</f>
        <v>0</v>
      </c>
      <c r="Q49" s="781"/>
      <c r="R49" s="781">
        <f>ROUND('CE_Group 1 (2)'!P41/1000000,0)</f>
        <v>0</v>
      </c>
      <c r="S49" s="781"/>
      <c r="T49" s="781">
        <f>-SUM(D49:R49)</f>
        <v>-62</v>
      </c>
      <c r="U49" s="506"/>
      <c r="V49" s="506">
        <f>SUM(D49:T49)</f>
        <v>0</v>
      </c>
      <c r="W49" s="506"/>
      <c r="X49" s="523"/>
      <c r="Y49" s="464"/>
      <c r="Z49" s="764">
        <f>BS!E42-CE_Group!D53</f>
        <v>12823287</v>
      </c>
    </row>
    <row r="50" spans="2:28" s="466" customFormat="1" ht="15.95" customHeight="1" thickBot="1">
      <c r="B50" s="520"/>
      <c r="C50" s="780" t="s">
        <v>424</v>
      </c>
      <c r="D50" s="781">
        <f>ROUND('CE_Group 1 (2)'!B42/1000000,0)</f>
        <v>0</v>
      </c>
      <c r="E50" s="781"/>
      <c r="F50" s="781">
        <f>ROUND('CE_Group 1 (2)'!D42/1000000,0)</f>
        <v>0</v>
      </c>
      <c r="G50" s="781"/>
      <c r="H50" s="781">
        <f>ROUND('CE_Group 1 (2)'!F42/1000000,0)</f>
        <v>0</v>
      </c>
      <c r="I50" s="781"/>
      <c r="J50" s="781">
        <f>ROUND('CE_Group 1 (2)'!H42/1000000,0)</f>
        <v>0</v>
      </c>
      <c r="K50" s="781"/>
      <c r="L50" s="781">
        <f>ROUND('CE_Group 1 (2)'!J42/1000000,0)</f>
        <v>0</v>
      </c>
      <c r="M50" s="781">
        <v>0</v>
      </c>
      <c r="N50" s="781">
        <f>ROUND('CE_Group 1 (2)'!L42/1000000,0)</f>
        <v>0</v>
      </c>
      <c r="O50" s="781"/>
      <c r="P50" s="781">
        <f>ROUND('CE_Group 1 (2)'!N42/1000000,0)</f>
        <v>0</v>
      </c>
      <c r="Q50" s="781"/>
      <c r="R50" s="781">
        <f>ROUND('CE_Group 1 (2)'!P42/1000000,0)</f>
        <v>0</v>
      </c>
      <c r="S50" s="781"/>
      <c r="T50" s="781">
        <f>ROUND('CE_Group 1 (2)'!R42/1000000,0)</f>
        <v>0</v>
      </c>
      <c r="U50" s="506"/>
      <c r="V50" s="506">
        <f t="shared" si="3"/>
        <v>0</v>
      </c>
      <c r="W50" s="506"/>
      <c r="X50" s="523"/>
      <c r="Y50" s="464"/>
      <c r="Z50" s="764">
        <f>BS!E43-CE_Group!F53</f>
        <v>1102017</v>
      </c>
    </row>
    <row r="51" spans="2:28" s="466" customFormat="1" ht="15.95" customHeight="1" thickBot="1">
      <c r="B51" s="520"/>
      <c r="C51" s="1157" t="s">
        <v>123</v>
      </c>
      <c r="D51" s="1158">
        <f>ROUND('CE_Group 1 (2)'!B43/1000000,0)</f>
        <v>0</v>
      </c>
      <c r="E51" s="1158"/>
      <c r="F51" s="1158">
        <f>ROUND('CE_Group 1 (2)'!D43/1000000,0)</f>
        <v>0</v>
      </c>
      <c r="G51" s="1158"/>
      <c r="H51" s="1158">
        <f>ROUND('CE_Group 1 (2)'!F43/1000000,0)</f>
        <v>0</v>
      </c>
      <c r="I51" s="1158"/>
      <c r="J51" s="1158">
        <f>ROUND('CE_Group 1 (2)'!H43/1000000,0)</f>
        <v>0</v>
      </c>
      <c r="K51" s="1158"/>
      <c r="L51" s="1158">
        <f>ROUND('CE_Group 1 (2)'!J43/1000000,0)</f>
        <v>0</v>
      </c>
      <c r="M51" s="1158"/>
      <c r="N51" s="1158">
        <f>ROUND('CE_Group 1 (2)'!L43/1000000,0)</f>
        <v>0</v>
      </c>
      <c r="O51" s="1158"/>
      <c r="P51" s="1158">
        <f>ROUND('CE_Group 1 (2)'!N43/1000000,0)</f>
        <v>0</v>
      </c>
      <c r="Q51" s="1158"/>
      <c r="R51" s="1158">
        <f>ROUND('CE_Group 1 (2)'!P43/1000000,0)</f>
        <v>0</v>
      </c>
      <c r="S51" s="1158"/>
      <c r="T51" s="1158">
        <f>ROUND('CE_Group 1 (2)'!R43/1000000,0)</f>
        <v>-790</v>
      </c>
      <c r="U51" s="1159"/>
      <c r="V51" s="1159">
        <f t="shared" si="3"/>
        <v>-790</v>
      </c>
      <c r="W51" s="1159"/>
      <c r="X51" s="523"/>
      <c r="Y51" s="464"/>
      <c r="Z51" s="764">
        <f>BS!K45-SUM(H53:R53)</f>
        <v>1623145</v>
      </c>
    </row>
    <row r="52" spans="2:28" s="486" customFormat="1" ht="15.95" customHeight="1" thickBot="1">
      <c r="B52" s="526"/>
      <c r="C52" s="772" t="s">
        <v>520</v>
      </c>
      <c r="D52" s="775">
        <f>SUM(D48:D51)</f>
        <v>50</v>
      </c>
      <c r="E52" s="775"/>
      <c r="F52" s="775">
        <f>SUM(F48:F51)</f>
        <v>34</v>
      </c>
      <c r="G52" s="775"/>
      <c r="H52" s="775">
        <f>SUM(H48:H51)</f>
        <v>0</v>
      </c>
      <c r="I52" s="775"/>
      <c r="J52" s="775">
        <f>SUM(J48:J51)</f>
        <v>0</v>
      </c>
      <c r="K52" s="775"/>
      <c r="L52" s="775">
        <f>SUM(L48:L51)</f>
        <v>28</v>
      </c>
      <c r="M52" s="775"/>
      <c r="N52" s="775">
        <f>SUM(N48:N51)</f>
        <v>0</v>
      </c>
      <c r="O52" s="775"/>
      <c r="P52" s="775">
        <f>SUM(P48:P51)</f>
        <v>0</v>
      </c>
      <c r="Q52" s="775"/>
      <c r="R52" s="775">
        <f>SUM(R48:R51)</f>
        <v>0</v>
      </c>
      <c r="S52" s="775"/>
      <c r="T52" s="775">
        <f>SUM(T48:T51)</f>
        <v>-902</v>
      </c>
      <c r="U52" s="487"/>
      <c r="V52" s="775">
        <f>SUM(V48:V51)</f>
        <v>-790</v>
      </c>
      <c r="W52" s="487"/>
      <c r="X52" s="767"/>
      <c r="Y52" s="758"/>
      <c r="Z52" s="766"/>
    </row>
    <row r="53" spans="2:28" s="486" customFormat="1" ht="17.25" thickBot="1">
      <c r="B53" s="526"/>
      <c r="C53" s="768" t="s">
        <v>482</v>
      </c>
      <c r="D53" s="765">
        <f>D52+D45+D41</f>
        <v>12786</v>
      </c>
      <c r="E53" s="765"/>
      <c r="F53" s="765">
        <f>F52+F45+F41</f>
        <v>1050</v>
      </c>
      <c r="G53" s="765"/>
      <c r="H53" s="765">
        <f>H52+H45+H41</f>
        <v>300</v>
      </c>
      <c r="I53" s="765"/>
      <c r="J53" s="765">
        <f>J52+J45+J41</f>
        <v>100</v>
      </c>
      <c r="K53" s="765"/>
      <c r="L53" s="765">
        <f>L52+L45+L41</f>
        <v>1125</v>
      </c>
      <c r="M53" s="765"/>
      <c r="N53" s="765">
        <f>N52+N45+N41</f>
        <v>0</v>
      </c>
      <c r="O53" s="765"/>
      <c r="P53" s="765">
        <f>P52+P45+P41</f>
        <v>107</v>
      </c>
      <c r="Q53" s="765"/>
      <c r="R53" s="765">
        <f>R52+R45+R41</f>
        <v>-58</v>
      </c>
      <c r="S53" s="765"/>
      <c r="T53" s="765">
        <f>T52+T45+T41</f>
        <v>1838929</v>
      </c>
      <c r="U53" s="765"/>
      <c r="V53" s="765">
        <f>V52+V45+V41</f>
        <v>1854339</v>
      </c>
      <c r="W53" s="765"/>
      <c r="X53" s="767"/>
      <c r="Y53" s="758"/>
      <c r="Z53" s="766">
        <f>BS!K44-T53</f>
        <v>3546952</v>
      </c>
      <c r="AA53" s="766">
        <f>BS!K46-V53</f>
        <v>19095401</v>
      </c>
      <c r="AB53" s="490"/>
    </row>
    <row r="54" spans="2:28" s="466" customFormat="1" ht="8.25" customHeight="1">
      <c r="B54" s="520"/>
      <c r="C54" s="762"/>
      <c r="D54" s="760"/>
      <c r="E54" s="760"/>
      <c r="F54" s="760"/>
      <c r="G54" s="760"/>
      <c r="H54" s="760"/>
      <c r="I54" s="760"/>
      <c r="J54" s="760"/>
      <c r="K54" s="760"/>
      <c r="L54" s="760"/>
      <c r="M54" s="760"/>
      <c r="N54" s="760"/>
      <c r="O54" s="760"/>
      <c r="P54" s="760"/>
      <c r="Q54" s="760"/>
      <c r="R54" s="760"/>
      <c r="S54" s="760"/>
      <c r="T54" s="472"/>
      <c r="U54" s="472"/>
      <c r="V54" s="472"/>
      <c r="W54" s="472"/>
      <c r="X54" s="523"/>
      <c r="Y54" s="464"/>
    </row>
    <row r="55" spans="2:28" s="466" customFormat="1" ht="8.25" customHeight="1">
      <c r="B55" s="520"/>
      <c r="C55" s="762"/>
      <c r="D55" s="760"/>
      <c r="E55" s="760"/>
      <c r="F55" s="760"/>
      <c r="G55" s="760"/>
      <c r="H55" s="760"/>
      <c r="I55" s="760"/>
      <c r="J55" s="760"/>
      <c r="K55" s="760"/>
      <c r="L55" s="760"/>
      <c r="M55" s="760"/>
      <c r="N55" s="760"/>
      <c r="O55" s="760"/>
      <c r="P55" s="760"/>
      <c r="Q55" s="760"/>
      <c r="R55" s="760"/>
      <c r="S55" s="760"/>
      <c r="T55" s="472"/>
      <c r="U55" s="472"/>
      <c r="V55" s="472"/>
      <c r="W55" s="472"/>
      <c r="X55" s="523"/>
      <c r="Y55" s="464"/>
    </row>
    <row r="56" spans="2:28" s="466" customFormat="1">
      <c r="B56" s="520"/>
      <c r="C56" s="535" t="s">
        <v>146</v>
      </c>
      <c r="D56" s="530"/>
      <c r="E56" s="760"/>
      <c r="F56" s="760"/>
      <c r="G56" s="760"/>
      <c r="H56" s="760"/>
      <c r="I56" s="760"/>
      <c r="J56" s="760"/>
      <c r="K56" s="760"/>
      <c r="L56" s="760"/>
      <c r="M56" s="760"/>
      <c r="N56" s="760"/>
      <c r="O56" s="760"/>
      <c r="P56" s="760"/>
      <c r="Q56" s="760"/>
      <c r="R56" s="760"/>
      <c r="S56" s="760"/>
      <c r="T56" s="472"/>
      <c r="U56" s="472"/>
      <c r="V56" s="472"/>
      <c r="W56" s="472"/>
      <c r="X56" s="523"/>
      <c r="Y56" s="464"/>
      <c r="Z56" s="466">
        <f>BS!K45</f>
        <v>1624719</v>
      </c>
    </row>
    <row r="57" spans="2:28" s="466" customFormat="1">
      <c r="B57" s="520"/>
      <c r="C57" s="530" t="s">
        <v>177</v>
      </c>
      <c r="D57" s="530"/>
      <c r="E57" s="760"/>
      <c r="F57" s="760"/>
      <c r="G57" s="760"/>
      <c r="H57" s="760"/>
      <c r="I57" s="760"/>
      <c r="J57" s="760"/>
      <c r="K57" s="760"/>
      <c r="L57" s="760"/>
      <c r="M57" s="760"/>
      <c r="N57" s="760"/>
      <c r="O57" s="760"/>
      <c r="P57" s="760"/>
      <c r="Q57" s="760"/>
      <c r="R57" s="760"/>
      <c r="S57" s="760"/>
      <c r="T57" s="472"/>
      <c r="U57" s="472"/>
      <c r="V57" s="472"/>
      <c r="W57" s="472"/>
      <c r="X57" s="523"/>
      <c r="Y57" s="464"/>
      <c r="Z57" s="489">
        <f>-SUM(H53:R53)</f>
        <v>-1574</v>
      </c>
    </row>
    <row r="58" spans="2:28" s="466" customFormat="1" ht="7.5" customHeight="1" thickBot="1">
      <c r="B58" s="793"/>
      <c r="C58" s="794"/>
      <c r="D58" s="795"/>
      <c r="E58" s="795"/>
      <c r="F58" s="795"/>
      <c r="G58" s="795"/>
      <c r="H58" s="795"/>
      <c r="I58" s="795"/>
      <c r="J58" s="795"/>
      <c r="K58" s="795"/>
      <c r="L58" s="795"/>
      <c r="M58" s="795"/>
      <c r="N58" s="795"/>
      <c r="O58" s="795"/>
      <c r="P58" s="795"/>
      <c r="Q58" s="795"/>
      <c r="R58" s="795"/>
      <c r="S58" s="795"/>
      <c r="T58" s="796"/>
      <c r="U58" s="796"/>
      <c r="V58" s="796"/>
      <c r="W58" s="796"/>
      <c r="X58" s="797"/>
      <c r="Y58" s="464"/>
    </row>
    <row r="59" spans="2:28" s="466" customFormat="1">
      <c r="D59" s="798"/>
      <c r="E59" s="798"/>
      <c r="F59" s="798"/>
      <c r="G59" s="798"/>
      <c r="H59" s="798"/>
      <c r="I59" s="798"/>
      <c r="J59" s="798"/>
      <c r="K59" s="798"/>
      <c r="L59" s="798"/>
      <c r="M59" s="798"/>
      <c r="N59" s="798"/>
      <c r="O59" s="798"/>
      <c r="P59" s="798"/>
      <c r="Q59" s="798"/>
      <c r="R59" s="798"/>
      <c r="S59" s="798"/>
      <c r="T59" s="464"/>
      <c r="U59" s="464"/>
      <c r="V59" s="464"/>
      <c r="W59" s="464"/>
      <c r="X59" s="464"/>
      <c r="Y59" s="464"/>
    </row>
    <row r="60" spans="2:28" s="466" customFormat="1">
      <c r="D60" s="798"/>
      <c r="E60" s="798"/>
      <c r="F60" s="798"/>
      <c r="G60" s="798"/>
      <c r="H60" s="798"/>
      <c r="I60" s="798"/>
      <c r="J60" s="798"/>
      <c r="K60" s="798"/>
      <c r="L60" s="798"/>
      <c r="M60" s="798"/>
      <c r="N60" s="798"/>
      <c r="O60" s="798"/>
      <c r="P60" s="798"/>
      <c r="Q60" s="798"/>
      <c r="R60" s="798"/>
      <c r="S60" s="798"/>
      <c r="T60" s="464"/>
      <c r="U60" s="464"/>
      <c r="V60" s="464"/>
      <c r="W60" s="464"/>
      <c r="X60" s="464"/>
      <c r="Y60" s="464"/>
    </row>
    <row r="61" spans="2:28" s="466" customFormat="1">
      <c r="D61" s="798"/>
      <c r="E61" s="798"/>
      <c r="F61" s="798"/>
      <c r="G61" s="798"/>
      <c r="H61" s="798"/>
      <c r="I61" s="798"/>
      <c r="J61" s="798"/>
      <c r="K61" s="798"/>
      <c r="L61" s="798"/>
      <c r="M61" s="798"/>
      <c r="N61" s="798"/>
      <c r="O61" s="798"/>
      <c r="P61" s="798"/>
      <c r="Q61" s="798"/>
      <c r="R61" s="798"/>
      <c r="S61" s="798"/>
      <c r="T61" s="464"/>
      <c r="U61" s="464"/>
      <c r="V61" s="464"/>
      <c r="W61" s="464"/>
      <c r="X61" s="464"/>
      <c r="Y61" s="464"/>
    </row>
    <row r="62" spans="2:28" s="466" customFormat="1">
      <c r="D62" s="798"/>
      <c r="E62" s="798"/>
      <c r="F62" s="798"/>
      <c r="G62" s="798"/>
      <c r="H62" s="798"/>
      <c r="I62" s="798"/>
      <c r="J62" s="798"/>
      <c r="K62" s="798"/>
      <c r="L62" s="798"/>
      <c r="M62" s="798"/>
      <c r="N62" s="798"/>
      <c r="O62" s="798"/>
      <c r="P62" s="798"/>
      <c r="Q62" s="798"/>
      <c r="R62" s="798"/>
      <c r="S62" s="798"/>
      <c r="T62" s="464"/>
      <c r="U62" s="464"/>
      <c r="V62" s="464"/>
      <c r="W62" s="464"/>
      <c r="X62" s="464"/>
      <c r="Y62" s="464"/>
    </row>
    <row r="63" spans="2:28" s="466" customFormat="1">
      <c r="D63" s="798"/>
      <c r="E63" s="798"/>
      <c r="F63" s="798"/>
      <c r="G63" s="798"/>
      <c r="H63" s="798"/>
      <c r="I63" s="798"/>
      <c r="J63" s="798"/>
      <c r="K63" s="798"/>
      <c r="L63" s="798"/>
      <c r="M63" s="798"/>
      <c r="N63" s="798"/>
      <c r="O63" s="798"/>
      <c r="P63" s="798"/>
      <c r="Q63" s="798"/>
      <c r="R63" s="798"/>
      <c r="S63" s="798"/>
      <c r="T63" s="464"/>
      <c r="U63" s="464"/>
      <c r="V63" s="464"/>
      <c r="W63" s="464"/>
      <c r="X63" s="464"/>
      <c r="Y63" s="464"/>
    </row>
    <row r="64" spans="2:28" s="466" customFormat="1">
      <c r="D64" s="798"/>
      <c r="E64" s="798"/>
      <c r="F64" s="798"/>
      <c r="G64" s="798"/>
      <c r="H64" s="798"/>
      <c r="I64" s="798"/>
      <c r="J64" s="798"/>
      <c r="K64" s="798"/>
      <c r="L64" s="798"/>
      <c r="M64" s="798"/>
      <c r="N64" s="798"/>
      <c r="O64" s="798"/>
      <c r="P64" s="798"/>
      <c r="Q64" s="798"/>
      <c r="R64" s="798"/>
      <c r="S64" s="798"/>
      <c r="T64" s="464"/>
      <c r="U64" s="464"/>
      <c r="V64" s="464"/>
      <c r="W64" s="464"/>
      <c r="X64" s="464"/>
      <c r="Y64" s="464"/>
    </row>
    <row r="65" spans="4:25" s="466" customFormat="1">
      <c r="D65" s="798"/>
      <c r="E65" s="798"/>
      <c r="F65" s="798"/>
      <c r="G65" s="798"/>
      <c r="H65" s="798"/>
      <c r="I65" s="798"/>
      <c r="J65" s="798"/>
      <c r="K65" s="798"/>
      <c r="L65" s="798"/>
      <c r="M65" s="798"/>
      <c r="N65" s="798"/>
      <c r="O65" s="798"/>
      <c r="P65" s="798"/>
      <c r="Q65" s="798"/>
      <c r="R65" s="798"/>
      <c r="S65" s="798"/>
      <c r="T65" s="464"/>
      <c r="U65" s="464"/>
      <c r="V65" s="464"/>
      <c r="W65" s="464"/>
      <c r="X65" s="464"/>
      <c r="Y65" s="464"/>
    </row>
    <row r="66" spans="4:25" s="466" customFormat="1">
      <c r="D66" s="798"/>
      <c r="E66" s="798"/>
      <c r="F66" s="798"/>
      <c r="G66" s="798"/>
      <c r="H66" s="798"/>
      <c r="I66" s="798"/>
      <c r="J66" s="798"/>
      <c r="K66" s="798"/>
      <c r="L66" s="798"/>
      <c r="M66" s="798"/>
      <c r="N66" s="798"/>
      <c r="O66" s="798"/>
      <c r="P66" s="798"/>
      <c r="Q66" s="798"/>
      <c r="R66" s="798"/>
      <c r="S66" s="798"/>
      <c r="T66" s="464"/>
      <c r="U66" s="464"/>
      <c r="V66" s="464"/>
      <c r="W66" s="464"/>
      <c r="X66" s="464"/>
      <c r="Y66" s="464"/>
    </row>
    <row r="67" spans="4:25" s="466" customFormat="1">
      <c r="D67" s="798"/>
      <c r="E67" s="798"/>
      <c r="F67" s="798"/>
      <c r="G67" s="798"/>
      <c r="H67" s="798"/>
      <c r="I67" s="798"/>
      <c r="J67" s="798"/>
      <c r="K67" s="798"/>
      <c r="L67" s="798"/>
      <c r="M67" s="798"/>
      <c r="N67" s="798"/>
      <c r="O67" s="798"/>
      <c r="P67" s="798"/>
      <c r="Q67" s="798"/>
      <c r="R67" s="798"/>
      <c r="S67" s="798"/>
      <c r="T67" s="464"/>
      <c r="U67" s="464"/>
      <c r="V67" s="464"/>
      <c r="W67" s="464"/>
      <c r="X67" s="464"/>
      <c r="Y67" s="464"/>
    </row>
    <row r="68" spans="4:25" s="466" customFormat="1">
      <c r="D68" s="798"/>
      <c r="E68" s="798"/>
      <c r="F68" s="798"/>
      <c r="G68" s="798"/>
      <c r="H68" s="798"/>
      <c r="I68" s="798"/>
      <c r="J68" s="798"/>
      <c r="K68" s="798"/>
      <c r="L68" s="798"/>
      <c r="M68" s="798"/>
      <c r="N68" s="798"/>
      <c r="O68" s="798"/>
      <c r="P68" s="798"/>
      <c r="Q68" s="798"/>
      <c r="R68" s="798"/>
      <c r="S68" s="798"/>
      <c r="T68" s="464"/>
      <c r="U68" s="464"/>
      <c r="V68" s="464"/>
      <c r="W68" s="464"/>
      <c r="X68" s="464"/>
      <c r="Y68" s="464"/>
    </row>
    <row r="69" spans="4:25" s="466" customFormat="1">
      <c r="D69" s="798"/>
      <c r="E69" s="798"/>
      <c r="F69" s="798"/>
      <c r="G69" s="798"/>
      <c r="H69" s="798"/>
      <c r="I69" s="798"/>
      <c r="J69" s="798"/>
      <c r="K69" s="798"/>
      <c r="L69" s="798"/>
      <c r="M69" s="798"/>
      <c r="N69" s="798"/>
      <c r="O69" s="798"/>
      <c r="P69" s="798"/>
      <c r="Q69" s="798"/>
      <c r="R69" s="798"/>
      <c r="S69" s="798"/>
      <c r="T69" s="464"/>
      <c r="U69" s="464"/>
      <c r="V69" s="464"/>
      <c r="W69" s="464"/>
      <c r="X69" s="464"/>
      <c r="Y69" s="464"/>
    </row>
    <row r="70" spans="4:25" s="466" customFormat="1">
      <c r="D70" s="798"/>
      <c r="E70" s="798"/>
      <c r="F70" s="798"/>
      <c r="G70" s="798"/>
      <c r="H70" s="798"/>
      <c r="I70" s="798"/>
      <c r="J70" s="798"/>
      <c r="K70" s="798"/>
      <c r="L70" s="798"/>
      <c r="M70" s="798"/>
      <c r="N70" s="798"/>
      <c r="O70" s="798"/>
      <c r="P70" s="798"/>
      <c r="Q70" s="798"/>
      <c r="R70" s="798"/>
      <c r="S70" s="798"/>
      <c r="T70" s="464"/>
      <c r="U70" s="464"/>
      <c r="V70" s="464"/>
      <c r="W70" s="464"/>
      <c r="X70" s="464"/>
      <c r="Y70" s="464"/>
    </row>
    <row r="71" spans="4:25" s="466" customFormat="1">
      <c r="D71" s="798"/>
      <c r="E71" s="798"/>
      <c r="F71" s="798"/>
      <c r="G71" s="798"/>
      <c r="H71" s="798"/>
      <c r="I71" s="798"/>
      <c r="J71" s="798"/>
      <c r="K71" s="798"/>
      <c r="L71" s="798"/>
      <c r="M71" s="798"/>
      <c r="N71" s="798"/>
      <c r="O71" s="798"/>
      <c r="P71" s="798"/>
      <c r="Q71" s="798"/>
      <c r="R71" s="798"/>
      <c r="S71" s="798"/>
      <c r="T71" s="464"/>
      <c r="U71" s="464"/>
      <c r="V71" s="464"/>
      <c r="W71" s="464"/>
      <c r="X71" s="464"/>
      <c r="Y71" s="464"/>
    </row>
    <row r="72" spans="4:25" s="466" customFormat="1">
      <c r="D72" s="798"/>
      <c r="E72" s="798"/>
      <c r="F72" s="798"/>
      <c r="G72" s="798"/>
      <c r="H72" s="798"/>
      <c r="I72" s="798"/>
      <c r="J72" s="798"/>
      <c r="K72" s="798"/>
      <c r="L72" s="798"/>
      <c r="M72" s="798"/>
      <c r="N72" s="798"/>
      <c r="O72" s="798"/>
      <c r="P72" s="798"/>
      <c r="Q72" s="798"/>
      <c r="R72" s="798"/>
      <c r="S72" s="798"/>
      <c r="T72" s="464"/>
      <c r="U72" s="464"/>
      <c r="V72" s="464"/>
      <c r="W72" s="464"/>
      <c r="X72" s="464"/>
      <c r="Y72" s="464"/>
    </row>
    <row r="73" spans="4:25" s="466" customFormat="1">
      <c r="D73" s="798"/>
      <c r="E73" s="798"/>
      <c r="F73" s="798"/>
      <c r="G73" s="798"/>
      <c r="H73" s="798"/>
      <c r="I73" s="798"/>
      <c r="J73" s="798"/>
      <c r="K73" s="798"/>
      <c r="L73" s="798"/>
      <c r="M73" s="798"/>
      <c r="N73" s="798"/>
      <c r="O73" s="798"/>
      <c r="P73" s="798"/>
      <c r="Q73" s="798"/>
      <c r="R73" s="798"/>
      <c r="S73" s="798"/>
      <c r="T73" s="464"/>
      <c r="U73" s="464"/>
      <c r="V73" s="464"/>
      <c r="W73" s="464"/>
      <c r="X73" s="464"/>
      <c r="Y73" s="464"/>
    </row>
    <row r="74" spans="4:25" s="466" customFormat="1">
      <c r="D74" s="798"/>
      <c r="E74" s="798"/>
      <c r="F74" s="798"/>
      <c r="G74" s="798"/>
      <c r="H74" s="798"/>
      <c r="I74" s="798"/>
      <c r="J74" s="798"/>
      <c r="K74" s="798"/>
      <c r="L74" s="798"/>
      <c r="M74" s="798"/>
      <c r="N74" s="798"/>
      <c r="O74" s="798"/>
      <c r="P74" s="798"/>
      <c r="Q74" s="798"/>
      <c r="R74" s="798"/>
      <c r="S74" s="798"/>
      <c r="T74" s="464"/>
      <c r="U74" s="464"/>
      <c r="V74" s="464"/>
      <c r="W74" s="464"/>
      <c r="X74" s="464"/>
      <c r="Y74" s="464"/>
    </row>
    <row r="75" spans="4:25" s="466" customFormat="1">
      <c r="D75" s="798"/>
      <c r="E75" s="798"/>
      <c r="F75" s="798"/>
      <c r="G75" s="798"/>
      <c r="H75" s="798"/>
      <c r="I75" s="798"/>
      <c r="J75" s="798"/>
      <c r="K75" s="798"/>
      <c r="L75" s="798"/>
      <c r="M75" s="798"/>
      <c r="N75" s="798"/>
      <c r="O75" s="798"/>
      <c r="P75" s="798"/>
      <c r="Q75" s="798"/>
      <c r="R75" s="798"/>
      <c r="S75" s="798"/>
      <c r="T75" s="464"/>
      <c r="U75" s="464"/>
      <c r="V75" s="464"/>
      <c r="W75" s="464"/>
      <c r="X75" s="464"/>
      <c r="Y75" s="464"/>
    </row>
    <row r="76" spans="4:25" s="466" customFormat="1">
      <c r="D76" s="798"/>
      <c r="E76" s="798"/>
      <c r="F76" s="798"/>
      <c r="G76" s="798"/>
      <c r="H76" s="798"/>
      <c r="I76" s="798"/>
      <c r="J76" s="798"/>
      <c r="K76" s="798"/>
      <c r="L76" s="798"/>
      <c r="M76" s="798"/>
      <c r="N76" s="798"/>
      <c r="O76" s="798"/>
      <c r="P76" s="798"/>
      <c r="Q76" s="798"/>
      <c r="R76" s="798"/>
      <c r="S76" s="798"/>
      <c r="T76" s="464"/>
      <c r="U76" s="464"/>
      <c r="V76" s="464"/>
      <c r="W76" s="464"/>
      <c r="X76" s="464"/>
      <c r="Y76" s="464"/>
    </row>
    <row r="77" spans="4:25" s="466" customFormat="1">
      <c r="D77" s="798"/>
      <c r="E77" s="798"/>
      <c r="F77" s="798"/>
      <c r="G77" s="798"/>
      <c r="H77" s="798"/>
      <c r="I77" s="798"/>
      <c r="J77" s="798"/>
      <c r="K77" s="798"/>
      <c r="L77" s="798"/>
      <c r="M77" s="798"/>
      <c r="N77" s="798"/>
      <c r="O77" s="798"/>
      <c r="P77" s="798"/>
      <c r="Q77" s="798"/>
      <c r="R77" s="798"/>
      <c r="S77" s="798"/>
      <c r="T77" s="464"/>
      <c r="U77" s="464"/>
      <c r="V77" s="464"/>
      <c r="W77" s="464"/>
      <c r="X77" s="464"/>
      <c r="Y77" s="464"/>
    </row>
  </sheetData>
  <mergeCells count="6">
    <mergeCell ref="C7:C8"/>
    <mergeCell ref="F7:F8"/>
    <mergeCell ref="H7:P7"/>
    <mergeCell ref="C2:W2"/>
    <mergeCell ref="C4:W4"/>
    <mergeCell ref="V8:V9"/>
  </mergeCells>
  <pageMargins left="0.55000000000000004" right="0.24" top="0.3" bottom="0.2" header="0.25" footer="0.17"/>
  <pageSetup paperSize="9" scale="65" orientation="landscape" r:id="rId1"/>
  <headerFooter>
    <oddFooter>&amp;C&amp;"Book Antiqua,Regular"&amp;12 5</oddFooter>
  </headerFooter>
</worksheet>
</file>

<file path=xl/worksheets/sheet15.xml><?xml version="1.0" encoding="utf-8"?>
<worksheet xmlns="http://schemas.openxmlformats.org/spreadsheetml/2006/main" xmlns:r="http://schemas.openxmlformats.org/officeDocument/2006/relationships">
  <sheetPr>
    <tabColor rgb="FFFF0000"/>
    <pageSetUpPr fitToPage="1"/>
  </sheetPr>
  <dimension ref="B1:P100"/>
  <sheetViews>
    <sheetView view="pageBreakPreview" zoomScaleSheetLayoutView="100" workbookViewId="0">
      <pane xSplit="1" ySplit="1" topLeftCell="B5" activePane="bottomRight" state="frozen"/>
      <selection activeCell="C38" sqref="C38"/>
      <selection pane="topRight" activeCell="C38" sqref="C38"/>
      <selection pane="bottomLeft" activeCell="C38" sqref="C38"/>
      <selection pane="bottomRight" activeCell="C38" sqref="C38"/>
    </sheetView>
  </sheetViews>
  <sheetFormatPr defaultColWidth="9.140625" defaultRowHeight="15.75"/>
  <cols>
    <col min="1" max="1" width="9.140625" style="269"/>
    <col min="2" max="2" width="1.7109375" style="269" customWidth="1"/>
    <col min="3" max="3" width="61.140625" style="269" customWidth="1"/>
    <col min="4" max="4" width="3.28515625" style="269" customWidth="1"/>
    <col min="5" max="5" width="14" style="270" customWidth="1"/>
    <col min="6" max="6" width="0.85546875" style="270" customWidth="1"/>
    <col min="7" max="7" width="12.42578125" style="270" customWidth="1"/>
    <col min="8" max="8" width="0.85546875" style="270" customWidth="1"/>
    <col min="9" max="9" width="14.140625" style="270" customWidth="1"/>
    <col min="10" max="10" width="0.85546875" style="270" customWidth="1"/>
    <col min="11" max="11" width="12.5703125" style="270" customWidth="1"/>
    <col min="12" max="12" width="1.85546875" style="269" customWidth="1"/>
    <col min="13" max="13" width="9.140625" style="269"/>
    <col min="14" max="14" width="16.42578125" style="269" bestFit="1" customWidth="1"/>
    <col min="15" max="16384" width="9.140625" style="269"/>
  </cols>
  <sheetData>
    <row r="1" spans="2:16">
      <c r="E1" s="270">
        <f>E37-E41</f>
        <v>1525141</v>
      </c>
      <c r="G1" s="270">
        <f>G37-G41</f>
        <v>2504891</v>
      </c>
      <c r="I1" s="270">
        <f>I37-I41</f>
        <v>2683640</v>
      </c>
      <c r="K1" s="270">
        <f>K37-K41</f>
        <v>3174191</v>
      </c>
    </row>
    <row r="2" spans="2:16" ht="77.25" customHeight="1">
      <c r="B2" s="1737" t="s">
        <v>517</v>
      </c>
      <c r="C2" s="1737"/>
      <c r="D2" s="1737"/>
      <c r="E2" s="1737"/>
      <c r="F2" s="1737"/>
      <c r="G2" s="1737"/>
      <c r="H2" s="1737"/>
      <c r="I2" s="1737"/>
      <c r="J2" s="1737"/>
      <c r="K2" s="1737"/>
      <c r="L2" s="1737"/>
      <c r="M2" s="803"/>
      <c r="N2" s="803"/>
      <c r="O2" s="803"/>
      <c r="P2" s="803"/>
    </row>
    <row r="3" spans="2:16">
      <c r="C3" s="804"/>
      <c r="D3" s="804"/>
      <c r="E3" s="804"/>
      <c r="F3" s="804"/>
      <c r="G3" s="804"/>
      <c r="H3" s="804"/>
      <c r="I3" s="804"/>
      <c r="J3" s="804"/>
      <c r="K3" s="804"/>
    </row>
    <row r="4" spans="2:16" ht="18.75">
      <c r="C4" s="1745" t="s">
        <v>124</v>
      </c>
      <c r="D4" s="1745"/>
      <c r="E4" s="1745"/>
      <c r="F4" s="1745"/>
      <c r="G4" s="1745"/>
      <c r="H4" s="1745"/>
      <c r="I4" s="1745"/>
      <c r="J4" s="1745"/>
      <c r="K4" s="1745"/>
    </row>
    <row r="5" spans="2:16" ht="16.5" thickBot="1">
      <c r="C5" s="804"/>
      <c r="D5" s="804"/>
      <c r="E5" s="804"/>
      <c r="F5" s="804"/>
      <c r="G5" s="804"/>
      <c r="H5" s="804"/>
      <c r="I5" s="804"/>
      <c r="J5" s="804"/>
      <c r="K5" s="804"/>
    </row>
    <row r="6" spans="2:16" s="805" customFormat="1" ht="16.5">
      <c r="B6" s="864"/>
      <c r="C6" s="865"/>
      <c r="D6" s="865"/>
      <c r="E6" s="866"/>
      <c r="F6" s="866"/>
      <c r="G6" s="866"/>
      <c r="H6" s="866"/>
      <c r="I6" s="866"/>
      <c r="J6" s="866"/>
      <c r="K6" s="866"/>
      <c r="L6" s="867"/>
    </row>
    <row r="7" spans="2:16" s="805" customFormat="1" ht="15" customHeight="1" thickBot="1">
      <c r="B7" s="868"/>
      <c r="C7" s="808"/>
      <c r="D7" s="808"/>
      <c r="E7" s="1746" t="s">
        <v>77</v>
      </c>
      <c r="F7" s="1746"/>
      <c r="G7" s="1746"/>
      <c r="H7" s="809"/>
      <c r="I7" s="1746" t="s">
        <v>78</v>
      </c>
      <c r="J7" s="1746"/>
      <c r="K7" s="1746"/>
      <c r="L7" s="869"/>
    </row>
    <row r="8" spans="2:16" s="805" customFormat="1" ht="16.5">
      <c r="B8" s="868"/>
      <c r="C8" s="808" t="s">
        <v>484</v>
      </c>
      <c r="D8" s="808"/>
      <c r="E8" s="810">
        <v>2014</v>
      </c>
      <c r="F8" s="811"/>
      <c r="G8" s="812">
        <v>2013</v>
      </c>
      <c r="H8" s="811"/>
      <c r="I8" s="810">
        <v>2014</v>
      </c>
      <c r="J8" s="811"/>
      <c r="K8" s="812">
        <v>2013</v>
      </c>
      <c r="L8" s="869"/>
    </row>
    <row r="9" spans="2:16" s="805" customFormat="1" ht="16.5">
      <c r="B9" s="868"/>
      <c r="C9" s="808"/>
      <c r="D9" s="808"/>
      <c r="E9" s="813" t="s">
        <v>150</v>
      </c>
      <c r="F9" s="811"/>
      <c r="G9" s="811" t="s">
        <v>150</v>
      </c>
      <c r="H9" s="811"/>
      <c r="I9" s="813" t="s">
        <v>150</v>
      </c>
      <c r="J9" s="811"/>
      <c r="K9" s="811" t="s">
        <v>150</v>
      </c>
      <c r="L9" s="869"/>
    </row>
    <row r="10" spans="2:16" s="805" customFormat="1" ht="17.25" thickBot="1">
      <c r="B10" s="868"/>
      <c r="C10" s="814"/>
      <c r="D10" s="814"/>
      <c r="E10" s="815" t="s">
        <v>148</v>
      </c>
      <c r="F10" s="816"/>
      <c r="G10" s="816" t="s">
        <v>148</v>
      </c>
      <c r="H10" s="816"/>
      <c r="I10" s="815" t="s">
        <v>148</v>
      </c>
      <c r="J10" s="816"/>
      <c r="K10" s="816" t="s">
        <v>148</v>
      </c>
      <c r="L10" s="869"/>
    </row>
    <row r="11" spans="2:16" s="806" customFormat="1" ht="18" customHeight="1">
      <c r="B11" s="870"/>
      <c r="C11" s="817" t="s">
        <v>125</v>
      </c>
      <c r="D11" s="817"/>
      <c r="E11" s="818"/>
      <c r="F11" s="819"/>
      <c r="G11" s="819"/>
      <c r="H11" s="819"/>
      <c r="I11" s="818"/>
      <c r="J11" s="819"/>
      <c r="K11" s="819"/>
      <c r="L11" s="871"/>
    </row>
    <row r="12" spans="2:16" s="820" customFormat="1" ht="16.5">
      <c r="B12" s="872"/>
      <c r="C12" s="821" t="s">
        <v>126</v>
      </c>
      <c r="D12" s="821"/>
      <c r="E12" s="822">
        <f>'2 (IS)'!E36</f>
        <v>1523364</v>
      </c>
      <c r="F12" s="823"/>
      <c r="G12" s="823">
        <f>'2 (IS)'!G36</f>
        <v>2506873</v>
      </c>
      <c r="H12" s="823"/>
      <c r="I12" s="822">
        <f>'2 (IS)'!K36</f>
        <v>2683056</v>
      </c>
      <c r="J12" s="823"/>
      <c r="K12" s="823">
        <f>'2 (IS)'!M36</f>
        <v>3176344</v>
      </c>
      <c r="L12" s="873"/>
      <c r="N12" s="904"/>
    </row>
    <row r="13" spans="2:16" s="820" customFormat="1" ht="16.5">
      <c r="B13" s="872"/>
      <c r="C13" s="824" t="s">
        <v>127</v>
      </c>
      <c r="D13" s="824"/>
      <c r="E13" s="825"/>
      <c r="F13" s="826"/>
      <c r="G13" s="826"/>
      <c r="H13" s="826"/>
      <c r="I13" s="825"/>
      <c r="J13" s="826"/>
      <c r="K13" s="826"/>
      <c r="L13" s="873"/>
      <c r="N13" s="904"/>
    </row>
    <row r="14" spans="2:16" s="820" customFormat="1" ht="16.5">
      <c r="B14" s="872"/>
      <c r="C14" s="821" t="s">
        <v>317</v>
      </c>
      <c r="D14" s="821"/>
      <c r="E14" s="822">
        <f>ROUND('CF (3)'!C11/1000000,0)</f>
        <v>95</v>
      </c>
      <c r="F14" s="823"/>
      <c r="G14" s="823">
        <f>ROUND('CF (3)'!E11/1000000,0)</f>
        <v>102</v>
      </c>
      <c r="H14" s="823"/>
      <c r="I14" s="822">
        <f>ROUND('CF (3)'!G11/1000000,0)</f>
        <v>121</v>
      </c>
      <c r="J14" s="823"/>
      <c r="K14" s="823">
        <f>ROUND('CF (3)'!I11/1000000,0)</f>
        <v>131</v>
      </c>
      <c r="L14" s="874">
        <v>0</v>
      </c>
      <c r="N14" s="904"/>
    </row>
    <row r="15" spans="2:16" s="820" customFormat="1" ht="16.5">
      <c r="B15" s="872"/>
      <c r="C15" s="821" t="s">
        <v>128</v>
      </c>
      <c r="D15" s="821"/>
      <c r="E15" s="822">
        <f>ROUND('CF (3)'!C12/1000000,0)</f>
        <v>-2235</v>
      </c>
      <c r="F15" s="823"/>
      <c r="G15" s="823">
        <f>ROUND('CF (3)'!E12/1000000,0)</f>
        <v>-1411</v>
      </c>
      <c r="H15" s="823"/>
      <c r="I15" s="822">
        <f>ROUND('CF (3)'!G12/1000000,0)</f>
        <v>-3201</v>
      </c>
      <c r="J15" s="823"/>
      <c r="K15" s="823">
        <f>ROUND('CF (3)'!I12/1000000,0)</f>
        <v>-1622</v>
      </c>
      <c r="L15" s="873"/>
      <c r="N15" s="904"/>
    </row>
    <row r="16" spans="2:16" s="820" customFormat="1" ht="16.5">
      <c r="B16" s="872"/>
      <c r="C16" s="821" t="s">
        <v>129</v>
      </c>
      <c r="D16" s="821"/>
      <c r="E16" s="822">
        <f>ROUND('CF (3)'!C13/1000000,0)+2</f>
        <v>10194</v>
      </c>
      <c r="F16" s="823"/>
      <c r="G16" s="823">
        <f>ROUND('CF (3)'!E13/1000000,0)-1</f>
        <v>4464</v>
      </c>
      <c r="H16" s="823"/>
      <c r="I16" s="822">
        <f>ROUND('CF (3)'!G13/1000000,0)</f>
        <v>10611</v>
      </c>
      <c r="J16" s="823"/>
      <c r="K16" s="823">
        <f>ROUND('CF (3)'!I13/1000000,0)+1</f>
        <v>4348</v>
      </c>
      <c r="L16" s="873"/>
      <c r="N16" s="904"/>
    </row>
    <row r="17" spans="2:16" s="820" customFormat="1" ht="16.5">
      <c r="B17" s="872"/>
      <c r="C17" s="821" t="s">
        <v>130</v>
      </c>
      <c r="D17" s="821"/>
      <c r="E17" s="822">
        <f>ROUND('CF (3)'!C14/1000000,0)</f>
        <v>-10</v>
      </c>
      <c r="F17" s="823"/>
      <c r="G17" s="823">
        <f>ROUND('CF (3)'!E14/1000000,0)</f>
        <v>-57</v>
      </c>
      <c r="H17" s="823"/>
      <c r="I17" s="822">
        <f>ROUND('CF (3)'!G14/1000000,0)</f>
        <v>-10</v>
      </c>
      <c r="J17" s="823"/>
      <c r="K17" s="823">
        <f>ROUND('CF (3)'!I14/1000000,0)</f>
        <v>0</v>
      </c>
      <c r="L17" s="873"/>
      <c r="N17" s="904"/>
    </row>
    <row r="18" spans="2:16" s="820" customFormat="1" ht="16.5">
      <c r="B18" s="872"/>
      <c r="C18" s="821" t="s">
        <v>187</v>
      </c>
      <c r="D18" s="821"/>
      <c r="E18" s="822">
        <f>ROUND('CF (3)'!C15/1000000,0)</f>
        <v>-1</v>
      </c>
      <c r="F18" s="823"/>
      <c r="G18" s="823">
        <f>ROUND('CF (3)'!E15/1000000,0)</f>
        <v>-4</v>
      </c>
      <c r="H18" s="823"/>
      <c r="I18" s="822">
        <f>ROUND('CF (3)'!G15/1000000,0)</f>
        <v>-1</v>
      </c>
      <c r="J18" s="823"/>
      <c r="K18" s="823">
        <f>ROUND('CF (3)'!I15/1000000,0)</f>
        <v>-4</v>
      </c>
      <c r="L18" s="873"/>
      <c r="N18" s="904"/>
    </row>
    <row r="19" spans="2:16" s="820" customFormat="1" ht="16.5">
      <c r="B19" s="872"/>
      <c r="C19" s="824" t="s">
        <v>131</v>
      </c>
      <c r="D19" s="824"/>
      <c r="E19" s="825">
        <f>ROUND('CF (3)'!C16/1000000,0)</f>
        <v>-141</v>
      </c>
      <c r="F19" s="826"/>
      <c r="G19" s="826">
        <f>ROUND('CF (3)'!E16/1000000,0)</f>
        <v>0</v>
      </c>
      <c r="H19" s="826"/>
      <c r="I19" s="825">
        <f>ROUND('CF (3)'!G16/1000000,0)</f>
        <v>-163</v>
      </c>
      <c r="J19" s="826"/>
      <c r="K19" s="826">
        <f>ROUND('CF (3)'!I16/1000000,0)</f>
        <v>0</v>
      </c>
      <c r="L19" s="873"/>
      <c r="N19" s="904"/>
    </row>
    <row r="20" spans="2:16" s="830" customFormat="1" ht="21" customHeight="1">
      <c r="B20" s="875"/>
      <c r="C20" s="827" t="s">
        <v>132</v>
      </c>
      <c r="D20" s="827"/>
      <c r="E20" s="828">
        <f>SUM(E12:E19)</f>
        <v>1531266</v>
      </c>
      <c r="F20" s="829">
        <v>0</v>
      </c>
      <c r="G20" s="829">
        <f>SUM(G12:G19)</f>
        <v>2509967</v>
      </c>
      <c r="H20" s="829">
        <v>0</v>
      </c>
      <c r="I20" s="828">
        <f>SUM(I12:I19)</f>
        <v>2690413</v>
      </c>
      <c r="J20" s="829">
        <v>0</v>
      </c>
      <c r="K20" s="829">
        <f>SUM(K12:K19)</f>
        <v>3179197</v>
      </c>
      <c r="L20" s="876"/>
      <c r="N20" s="904"/>
    </row>
    <row r="21" spans="2:16" s="830" customFormat="1" ht="16.5">
      <c r="B21" s="875"/>
      <c r="C21" s="831"/>
      <c r="D21" s="831"/>
      <c r="E21" s="832"/>
      <c r="F21" s="833"/>
      <c r="G21" s="833"/>
      <c r="H21" s="833"/>
      <c r="I21" s="832"/>
      <c r="J21" s="833"/>
      <c r="K21" s="833"/>
      <c r="L21" s="876"/>
      <c r="M21" s="834"/>
      <c r="N21" s="904"/>
      <c r="P21" s="835"/>
    </row>
    <row r="22" spans="2:16" s="830" customFormat="1" ht="16.5">
      <c r="B22" s="875"/>
      <c r="C22" s="831" t="s">
        <v>133</v>
      </c>
      <c r="D22" s="831"/>
      <c r="E22" s="832"/>
      <c r="F22" s="833"/>
      <c r="G22" s="833"/>
      <c r="H22" s="833"/>
      <c r="I22" s="832"/>
      <c r="J22" s="833"/>
      <c r="K22" s="833"/>
      <c r="L22" s="876"/>
      <c r="M22" s="834"/>
      <c r="N22" s="904"/>
      <c r="P22" s="835"/>
    </row>
    <row r="23" spans="2:16" s="820" customFormat="1" ht="16.5">
      <c r="B23" s="872"/>
      <c r="C23" s="821" t="s">
        <v>134</v>
      </c>
      <c r="D23" s="821"/>
      <c r="E23" s="822">
        <f>ROUND('CF (3)'!C20/1000000,0)</f>
        <v>-238</v>
      </c>
      <c r="F23" s="823"/>
      <c r="G23" s="823">
        <f>ROUND('CF (3)'!E20/1000000,0)</f>
        <v>-139</v>
      </c>
      <c r="H23" s="823"/>
      <c r="I23" s="822">
        <f>ROUND('CF (3)'!G20/1000000,0)</f>
        <v>-1001</v>
      </c>
      <c r="J23" s="823"/>
      <c r="K23" s="823">
        <f>ROUND('CF (3)'!I20/1000000,0)</f>
        <v>-163</v>
      </c>
      <c r="L23" s="873"/>
      <c r="N23" s="904"/>
    </row>
    <row r="24" spans="2:16" s="820" customFormat="1" ht="16.5">
      <c r="B24" s="872"/>
      <c r="C24" s="821" t="s">
        <v>135</v>
      </c>
      <c r="D24" s="821"/>
      <c r="E24" s="822">
        <f>ROUND('CF (3)'!C21/1000000,0)</f>
        <v>5</v>
      </c>
      <c r="F24" s="823"/>
      <c r="G24" s="823">
        <f>ROUND('CF (3)'!E21/1000000,0)</f>
        <v>13</v>
      </c>
      <c r="H24" s="823"/>
      <c r="I24" s="822">
        <f>ROUND('CF (3)'!G21/1000000,0)</f>
        <v>5</v>
      </c>
      <c r="J24" s="823"/>
      <c r="K24" s="823">
        <f>ROUND('CF (3)'!I21/1000000,0)</f>
        <v>13</v>
      </c>
      <c r="L24" s="873"/>
      <c r="N24" s="904"/>
    </row>
    <row r="25" spans="2:16" s="820" customFormat="1" ht="16.5">
      <c r="B25" s="872"/>
      <c r="C25" s="821" t="s">
        <v>455</v>
      </c>
      <c r="D25" s="821"/>
      <c r="E25" s="822">
        <f>ROUND('CF (3)'!C22/1000000,0)</f>
        <v>0</v>
      </c>
      <c r="F25" s="823"/>
      <c r="G25" s="823">
        <f>ROUND('CF (3)'!E22/1000000,0)</f>
        <v>-12</v>
      </c>
      <c r="H25" s="823"/>
      <c r="I25" s="822">
        <f>ROUND('CF (3)'!G22/1000000,0)</f>
        <v>0</v>
      </c>
      <c r="J25" s="823"/>
      <c r="K25" s="823">
        <f>ROUND('CF (3)'!I22/1000000,0)</f>
        <v>-12</v>
      </c>
      <c r="L25" s="873"/>
      <c r="N25" s="904"/>
    </row>
    <row r="26" spans="2:16" s="820" customFormat="1" ht="16.5">
      <c r="B26" s="872"/>
      <c r="C26" s="824" t="s">
        <v>634</v>
      </c>
      <c r="D26" s="824"/>
      <c r="E26" s="825">
        <f>ROUND('CF (3)'!C23/1000000,0)</f>
        <v>10</v>
      </c>
      <c r="F26" s="836"/>
      <c r="G26" s="826">
        <f>ROUND('CF (3)'!E23/1000000,0)</f>
        <v>57</v>
      </c>
      <c r="H26" s="836"/>
      <c r="I26" s="825">
        <f>ROUND('CF (3)'!G23/1000000,0)</f>
        <v>10</v>
      </c>
      <c r="J26" s="836"/>
      <c r="K26" s="826">
        <f>ROUND('CF (3)'!I23/1000000,0)</f>
        <v>0</v>
      </c>
      <c r="L26" s="873"/>
      <c r="N26" s="904"/>
    </row>
    <row r="27" spans="2:16" s="830" customFormat="1" ht="18" customHeight="1">
      <c r="B27" s="875"/>
      <c r="C27" s="827" t="s">
        <v>602</v>
      </c>
      <c r="D27" s="827"/>
      <c r="E27" s="828">
        <f>SUM(E23:E26)</f>
        <v>-223</v>
      </c>
      <c r="F27" s="829">
        <v>0</v>
      </c>
      <c r="G27" s="829">
        <f>SUM(G23:G26)</f>
        <v>-81</v>
      </c>
      <c r="H27" s="829">
        <v>0</v>
      </c>
      <c r="I27" s="828">
        <f>SUM(I23:I26)</f>
        <v>-986</v>
      </c>
      <c r="J27" s="829">
        <v>0</v>
      </c>
      <c r="K27" s="829">
        <f>SUM(K23:K26)</f>
        <v>-162</v>
      </c>
      <c r="L27" s="876"/>
      <c r="M27" s="820"/>
      <c r="N27" s="904"/>
    </row>
    <row r="28" spans="2:16" s="830" customFormat="1" ht="16.5">
      <c r="B28" s="875"/>
      <c r="C28" s="831"/>
      <c r="D28" s="831"/>
      <c r="E28" s="832"/>
      <c r="F28" s="833"/>
      <c r="G28" s="833"/>
      <c r="H28" s="833"/>
      <c r="I28" s="832"/>
      <c r="J28" s="833"/>
      <c r="K28" s="833"/>
      <c r="L28" s="876"/>
      <c r="N28" s="904"/>
    </row>
    <row r="29" spans="2:16" s="820" customFormat="1" ht="16.5">
      <c r="B29" s="872"/>
      <c r="C29" s="831" t="s">
        <v>138</v>
      </c>
      <c r="D29" s="831"/>
      <c r="E29" s="825"/>
      <c r="F29" s="826"/>
      <c r="G29" s="826"/>
      <c r="H29" s="826"/>
      <c r="I29" s="825"/>
      <c r="J29" s="826"/>
      <c r="K29" s="826"/>
      <c r="L29" s="873"/>
      <c r="N29" s="904"/>
    </row>
    <row r="30" spans="2:16" s="805" customFormat="1" ht="16.5">
      <c r="B30" s="868"/>
      <c r="C30" s="839" t="s">
        <v>600</v>
      </c>
      <c r="D30" s="839"/>
      <c r="E30" s="840">
        <f>ROUND('CF (3)'!C27/1000000,0)</f>
        <v>-2592</v>
      </c>
      <c r="F30" s="841"/>
      <c r="G30" s="841">
        <f>ROUND('CF (3)'!E27/1000000,0)</f>
        <v>-5300</v>
      </c>
      <c r="H30" s="841"/>
      <c r="I30" s="840">
        <f>ROUND('CF (3)'!G27/1000000,0)</f>
        <v>-2564</v>
      </c>
      <c r="J30" s="841"/>
      <c r="K30" s="841">
        <f>ROUND('CF (3)'!I27/1000000,0)</f>
        <v>-5293</v>
      </c>
      <c r="L30" s="869"/>
      <c r="N30" s="904"/>
    </row>
    <row r="31" spans="2:16" s="805" customFormat="1" ht="16.5">
      <c r="B31" s="868"/>
      <c r="C31" s="839" t="s">
        <v>139</v>
      </c>
      <c r="D31" s="839"/>
      <c r="E31" s="840">
        <f>ROUND('CF (3)'!C28/1000000,0)</f>
        <v>-1</v>
      </c>
      <c r="F31" s="841"/>
      <c r="G31" s="841">
        <f>ROUND('CF (3)'!E28/1000000,0)</f>
        <v>0</v>
      </c>
      <c r="H31" s="841"/>
      <c r="I31" s="840">
        <f>ROUND('CF (3)'!G28/1000000,0)</f>
        <v>-1</v>
      </c>
      <c r="J31" s="841"/>
      <c r="K31" s="841">
        <f>ROUND('CF (3)'!I28/1000000,0)</f>
        <v>0</v>
      </c>
      <c r="L31" s="869"/>
      <c r="N31" s="904"/>
    </row>
    <row r="32" spans="2:16" s="805" customFormat="1" ht="16.5">
      <c r="B32" s="868"/>
      <c r="C32" s="837" t="s">
        <v>140</v>
      </c>
      <c r="D32" s="837"/>
      <c r="E32" s="838">
        <f>ROUND('CF (3)'!C29/1000000,0)</f>
        <v>-50</v>
      </c>
      <c r="F32" s="836"/>
      <c r="G32" s="836">
        <f>ROUND('CF (3)'!E29/1000000,0)</f>
        <v>-50</v>
      </c>
      <c r="H32" s="836"/>
      <c r="I32" s="838">
        <f>ROUND('CF (3)'!G29/1000000,0)</f>
        <v>-50</v>
      </c>
      <c r="J32" s="836"/>
      <c r="K32" s="836">
        <f>ROUND('CF (3)'!I29/1000000,0)</f>
        <v>-50</v>
      </c>
      <c r="L32" s="869"/>
      <c r="N32" s="904"/>
    </row>
    <row r="33" spans="2:14" s="806" customFormat="1" ht="16.5">
      <c r="B33" s="870"/>
      <c r="C33" s="842" t="s">
        <v>408</v>
      </c>
      <c r="D33" s="842"/>
      <c r="E33" s="843">
        <f>SUM(E30:E32)</f>
        <v>-2643</v>
      </c>
      <c r="F33" s="844">
        <v>0</v>
      </c>
      <c r="G33" s="844">
        <f>G31+G32+G30</f>
        <v>-5350</v>
      </c>
      <c r="H33" s="844">
        <v>0</v>
      </c>
      <c r="I33" s="843">
        <f>SUM(I30:I32)</f>
        <v>-2615</v>
      </c>
      <c r="J33" s="844">
        <v>0</v>
      </c>
      <c r="K33" s="844">
        <f>K31+K32+K30</f>
        <v>-5343</v>
      </c>
      <c r="L33" s="871"/>
      <c r="N33" s="904"/>
    </row>
    <row r="34" spans="2:14" s="805" customFormat="1" ht="16.5">
      <c r="B34" s="868"/>
      <c r="C34" s="837"/>
      <c r="D34" s="837"/>
      <c r="E34" s="838"/>
      <c r="F34" s="836"/>
      <c r="G34" s="836"/>
      <c r="H34" s="836"/>
      <c r="I34" s="838"/>
      <c r="J34" s="836"/>
      <c r="K34" s="836"/>
      <c r="L34" s="869"/>
      <c r="N34" s="904"/>
    </row>
    <row r="35" spans="2:14" s="806" customFormat="1" ht="16.5">
      <c r="B35" s="870"/>
      <c r="C35" s="808" t="s">
        <v>142</v>
      </c>
      <c r="D35" s="808"/>
      <c r="E35" s="818">
        <f>E20+E27+E33</f>
        <v>1528400</v>
      </c>
      <c r="F35" s="819">
        <v>0</v>
      </c>
      <c r="G35" s="819">
        <f>G20+G27+G33</f>
        <v>2504536</v>
      </c>
      <c r="H35" s="819">
        <v>0</v>
      </c>
      <c r="I35" s="818">
        <f>I20+I27+I33</f>
        <v>2686812</v>
      </c>
      <c r="J35" s="819">
        <v>0</v>
      </c>
      <c r="K35" s="819">
        <f>K20+K27+K33</f>
        <v>3173692</v>
      </c>
      <c r="L35" s="871"/>
      <c r="N35" s="904"/>
    </row>
    <row r="36" spans="2:14" s="805" customFormat="1" ht="16.5">
      <c r="B36" s="868"/>
      <c r="C36" s="845" t="s">
        <v>189</v>
      </c>
      <c r="D36" s="845"/>
      <c r="E36" s="846">
        <f>ROUND('CF (3)'!C33/1000000,0)</f>
        <v>1652</v>
      </c>
      <c r="F36" s="847">
        <v>0</v>
      </c>
      <c r="G36" s="847">
        <f>ROUND('CF (3)'!E33/1000000,0)</f>
        <v>3178</v>
      </c>
      <c r="H36" s="847">
        <v>0</v>
      </c>
      <c r="I36" s="846">
        <f>ROUND('CF (3)'!G33/1000000,0)</f>
        <v>1883</v>
      </c>
      <c r="J36" s="847">
        <v>0</v>
      </c>
      <c r="K36" s="847">
        <f>ROUND('CF (3)'!I33/1000000,0)</f>
        <v>3342</v>
      </c>
      <c r="L36" s="869"/>
      <c r="N36" s="904"/>
    </row>
    <row r="37" spans="2:14" s="805" customFormat="1" ht="17.25" thickBot="1">
      <c r="B37" s="868"/>
      <c r="C37" s="848" t="s">
        <v>188</v>
      </c>
      <c r="D37" s="848"/>
      <c r="E37" s="849">
        <f>SUM(E35:E36)</f>
        <v>1530052</v>
      </c>
      <c r="F37" s="850">
        <v>0</v>
      </c>
      <c r="G37" s="850">
        <f>G35+G36</f>
        <v>2507714</v>
      </c>
      <c r="H37" s="850">
        <v>0</v>
      </c>
      <c r="I37" s="849">
        <f>SUM(I35:I36)</f>
        <v>2688695</v>
      </c>
      <c r="J37" s="850">
        <v>0</v>
      </c>
      <c r="K37" s="850">
        <f>K35+K36</f>
        <v>3177034</v>
      </c>
      <c r="L37" s="869"/>
      <c r="N37" s="904"/>
    </row>
    <row r="38" spans="2:14" s="805" customFormat="1" ht="16.5">
      <c r="B38" s="868"/>
      <c r="C38" s="837"/>
      <c r="D38" s="837"/>
      <c r="E38" s="851"/>
      <c r="F38" s="852"/>
      <c r="G38" s="852"/>
      <c r="H38" s="852"/>
      <c r="I38" s="851"/>
      <c r="J38" s="852"/>
      <c r="K38" s="852"/>
      <c r="L38" s="869"/>
      <c r="N38" s="904"/>
    </row>
    <row r="39" spans="2:14" s="805" customFormat="1" ht="16.5">
      <c r="B39" s="868"/>
      <c r="C39" s="504" t="s">
        <v>436</v>
      </c>
      <c r="D39" s="839"/>
      <c r="E39" s="822">
        <f>ROUND('CF (3)'!C37/1000000,0)</f>
        <v>5242</v>
      </c>
      <c r="F39" s="823"/>
      <c r="G39" s="823">
        <f>ROUND('CF (3)'!E37/1000000,0)</f>
        <v>3563</v>
      </c>
      <c r="H39" s="823"/>
      <c r="I39" s="822">
        <f>ROUND('CF (3)'!G37/1000000,0)</f>
        <v>5455</v>
      </c>
      <c r="J39" s="823"/>
      <c r="K39" s="823">
        <f>ROUND('CF (3)'!I37/1000000,0)</f>
        <v>3711</v>
      </c>
      <c r="L39" s="869"/>
      <c r="N39" s="904"/>
    </row>
    <row r="40" spans="2:14" s="805" customFormat="1" ht="16.5">
      <c r="B40" s="868"/>
      <c r="C40" s="853" t="s">
        <v>378</v>
      </c>
      <c r="D40" s="837"/>
      <c r="E40" s="825">
        <f>ROUND('CF (3)'!C38/1000000,0)</f>
        <v>-331</v>
      </c>
      <c r="F40" s="826"/>
      <c r="G40" s="826">
        <f>ROUND('CF (3)'!E38/1000000,0)</f>
        <v>-740</v>
      </c>
      <c r="H40" s="826"/>
      <c r="I40" s="825">
        <f>ROUND('CF (3)'!G38/1000000,0)</f>
        <v>-400</v>
      </c>
      <c r="J40" s="826"/>
      <c r="K40" s="826">
        <f>ROUND('CF (3)'!I38/1000000,0)</f>
        <v>-868</v>
      </c>
      <c r="L40" s="869"/>
      <c r="N40" s="904"/>
    </row>
    <row r="41" spans="2:14" s="805" customFormat="1" ht="17.25" thickBot="1">
      <c r="B41" s="868"/>
      <c r="C41" s="854"/>
      <c r="D41" s="855"/>
      <c r="E41" s="856">
        <f>SUM(E39:E40)</f>
        <v>4911</v>
      </c>
      <c r="F41" s="857"/>
      <c r="G41" s="858">
        <f>SUM(G39:G40)</f>
        <v>2823</v>
      </c>
      <c r="H41" s="857"/>
      <c r="I41" s="856">
        <f>SUM(I39:I40)</f>
        <v>5055</v>
      </c>
      <c r="J41" s="857"/>
      <c r="K41" s="858">
        <f>SUM(K39:K40)</f>
        <v>2843</v>
      </c>
      <c r="L41" s="869"/>
      <c r="N41" s="904"/>
    </row>
    <row r="42" spans="2:14" s="805" customFormat="1" ht="9.75" customHeight="1" thickBot="1">
      <c r="B42" s="868"/>
      <c r="C42" s="837"/>
      <c r="D42" s="837"/>
      <c r="E42" s="859"/>
      <c r="F42" s="852"/>
      <c r="G42" s="852"/>
      <c r="H42" s="852"/>
      <c r="I42" s="859"/>
      <c r="J42" s="852"/>
      <c r="K42" s="852"/>
      <c r="L42" s="869"/>
    </row>
    <row r="43" spans="2:14" s="805" customFormat="1">
      <c r="B43" s="868"/>
      <c r="C43" s="837"/>
      <c r="D43" s="837"/>
      <c r="E43" s="860"/>
      <c r="F43" s="860"/>
      <c r="G43" s="860"/>
      <c r="H43" s="860"/>
      <c r="I43" s="860"/>
      <c r="J43" s="852"/>
      <c r="K43" s="852"/>
      <c r="L43" s="869"/>
    </row>
    <row r="44" spans="2:14" s="806" customFormat="1" ht="16.5">
      <c r="B44" s="870"/>
      <c r="C44" s="535" t="s">
        <v>146</v>
      </c>
      <c r="D44" s="808"/>
      <c r="E44" s="819"/>
      <c r="F44" s="819"/>
      <c r="G44" s="819"/>
      <c r="H44" s="819"/>
      <c r="I44" s="819"/>
      <c r="J44" s="819"/>
      <c r="K44" s="819"/>
      <c r="L44" s="871"/>
    </row>
    <row r="45" spans="2:14" s="806" customFormat="1" ht="16.5">
      <c r="B45" s="870"/>
      <c r="C45" s="530" t="s">
        <v>177</v>
      </c>
      <c r="D45" s="808"/>
      <c r="E45" s="819"/>
      <c r="F45" s="819"/>
      <c r="G45" s="819"/>
      <c r="H45" s="819"/>
      <c r="I45" s="819"/>
      <c r="J45" s="819"/>
      <c r="K45" s="819"/>
      <c r="L45" s="871"/>
    </row>
    <row r="46" spans="2:14" s="806" customFormat="1" ht="12" customHeight="1" thickBot="1">
      <c r="B46" s="877"/>
      <c r="C46" s="878"/>
      <c r="D46" s="814"/>
      <c r="E46" s="879"/>
      <c r="F46" s="879"/>
      <c r="G46" s="879"/>
      <c r="H46" s="879"/>
      <c r="I46" s="879"/>
      <c r="J46" s="879"/>
      <c r="K46" s="879"/>
      <c r="L46" s="880"/>
    </row>
    <row r="47" spans="2:14" s="805" customFormat="1">
      <c r="C47" s="837"/>
      <c r="D47" s="837"/>
      <c r="E47" s="862"/>
      <c r="F47" s="836"/>
      <c r="G47" s="836"/>
      <c r="H47" s="836"/>
      <c r="I47" s="836"/>
      <c r="J47" s="836"/>
      <c r="K47" s="836"/>
    </row>
    <row r="48" spans="2:14" s="808" customFormat="1" ht="16.5">
      <c r="E48" s="819"/>
      <c r="F48" s="819"/>
      <c r="G48" s="819"/>
      <c r="H48" s="819"/>
      <c r="I48" s="819"/>
      <c r="J48" s="819"/>
      <c r="K48" s="819"/>
    </row>
    <row r="49" spans="3:12" s="808" customFormat="1" ht="16.5">
      <c r="C49" s="530"/>
      <c r="E49" s="819"/>
      <c r="F49" s="819"/>
      <c r="G49" s="819"/>
      <c r="H49" s="819"/>
      <c r="I49" s="819"/>
      <c r="J49" s="819"/>
      <c r="K49" s="819"/>
    </row>
    <row r="50" spans="3:12" s="808" customFormat="1" ht="16.5">
      <c r="E50" s="819"/>
      <c r="F50" s="819"/>
      <c r="G50" s="819"/>
      <c r="H50" s="819"/>
      <c r="I50" s="819"/>
      <c r="J50" s="819"/>
      <c r="K50" s="819"/>
    </row>
    <row r="51" spans="3:12" s="808" customFormat="1" ht="16.5">
      <c r="E51" s="819"/>
      <c r="F51" s="819"/>
      <c r="G51" s="819"/>
      <c r="H51" s="819"/>
      <c r="I51" s="819"/>
      <c r="J51" s="819"/>
      <c r="K51" s="819"/>
    </row>
    <row r="52" spans="3:12" s="837" customFormat="1">
      <c r="E52" s="836"/>
      <c r="F52" s="836"/>
      <c r="G52" s="836"/>
      <c r="H52" s="836"/>
      <c r="I52" s="836"/>
      <c r="J52" s="836"/>
      <c r="K52" s="836"/>
    </row>
    <row r="53" spans="3:12" s="837" customFormat="1">
      <c r="E53" s="836"/>
      <c r="F53" s="836"/>
      <c r="G53" s="836"/>
      <c r="H53" s="836"/>
      <c r="I53" s="836"/>
      <c r="J53" s="836"/>
      <c r="K53" s="836"/>
    </row>
    <row r="54" spans="3:12" s="837" customFormat="1">
      <c r="E54" s="836"/>
      <c r="F54" s="836"/>
      <c r="G54" s="836"/>
      <c r="H54" s="836"/>
      <c r="I54" s="836"/>
      <c r="J54" s="836"/>
      <c r="K54" s="836"/>
    </row>
    <row r="55" spans="3:12" s="837" customFormat="1">
      <c r="E55" s="836"/>
      <c r="F55" s="836"/>
      <c r="G55" s="836"/>
      <c r="H55" s="836"/>
      <c r="I55" s="836"/>
      <c r="J55" s="836"/>
      <c r="K55" s="836"/>
      <c r="L55" s="836"/>
    </row>
    <row r="56" spans="3:12" s="837" customFormat="1" ht="16.5">
      <c r="C56" s="831"/>
      <c r="E56" s="836"/>
      <c r="F56" s="836"/>
      <c r="G56" s="836"/>
      <c r="H56" s="836"/>
      <c r="I56" s="836"/>
      <c r="J56" s="836"/>
      <c r="K56" s="836"/>
    </row>
    <row r="57" spans="3:12" s="837" customFormat="1">
      <c r="E57" s="836"/>
      <c r="F57" s="836"/>
      <c r="G57" s="836"/>
      <c r="H57" s="836"/>
      <c r="I57" s="836"/>
      <c r="J57" s="836"/>
      <c r="K57" s="836"/>
    </row>
    <row r="58" spans="3:12" s="837" customFormat="1">
      <c r="E58" s="836"/>
      <c r="F58" s="836"/>
      <c r="G58" s="836"/>
      <c r="H58" s="836"/>
      <c r="I58" s="836"/>
      <c r="J58" s="836"/>
      <c r="K58" s="836"/>
    </row>
    <row r="59" spans="3:12" s="837" customFormat="1">
      <c r="E59" s="836"/>
      <c r="F59" s="836"/>
      <c r="G59" s="836"/>
      <c r="H59" s="836"/>
      <c r="I59" s="836"/>
      <c r="J59" s="836"/>
      <c r="K59" s="836"/>
    </row>
    <row r="60" spans="3:12" s="837" customFormat="1">
      <c r="E60" s="836"/>
      <c r="F60" s="836"/>
      <c r="G60" s="836"/>
      <c r="H60" s="836"/>
      <c r="I60" s="836"/>
      <c r="J60" s="836"/>
      <c r="K60" s="836"/>
    </row>
    <row r="61" spans="3:12" s="837" customFormat="1">
      <c r="E61" s="836"/>
      <c r="F61" s="836"/>
      <c r="G61" s="836"/>
      <c r="H61" s="836"/>
      <c r="I61" s="836"/>
      <c r="J61" s="836"/>
      <c r="K61" s="836"/>
    </row>
    <row r="62" spans="3:12" s="837" customFormat="1">
      <c r="E62" s="836"/>
      <c r="F62" s="836"/>
      <c r="G62" s="836"/>
      <c r="H62" s="836"/>
      <c r="I62" s="836"/>
      <c r="J62" s="836"/>
      <c r="K62" s="836"/>
    </row>
    <row r="63" spans="3:12" s="837" customFormat="1" ht="16.5">
      <c r="C63" s="831"/>
      <c r="E63" s="836"/>
      <c r="F63" s="836"/>
      <c r="G63" s="836"/>
      <c r="H63" s="836"/>
      <c r="I63" s="836"/>
      <c r="J63" s="836"/>
      <c r="K63" s="836"/>
    </row>
    <row r="64" spans="3:12" s="837" customFormat="1">
      <c r="E64" s="836"/>
      <c r="F64" s="836"/>
      <c r="G64" s="836"/>
      <c r="H64" s="836"/>
      <c r="I64" s="836"/>
      <c r="J64" s="836"/>
      <c r="K64" s="836"/>
    </row>
    <row r="65" spans="3:11" s="837" customFormat="1">
      <c r="E65" s="836"/>
      <c r="F65" s="836"/>
      <c r="G65" s="836"/>
      <c r="H65" s="836"/>
      <c r="I65" s="836"/>
      <c r="J65" s="836"/>
      <c r="K65" s="836"/>
    </row>
    <row r="66" spans="3:11" s="837" customFormat="1">
      <c r="E66" s="836"/>
      <c r="F66" s="836"/>
      <c r="G66" s="836"/>
      <c r="H66" s="836"/>
      <c r="I66" s="836"/>
      <c r="J66" s="836"/>
      <c r="K66" s="836"/>
    </row>
    <row r="67" spans="3:11" s="837" customFormat="1">
      <c r="E67" s="836"/>
      <c r="F67" s="836"/>
      <c r="G67" s="836"/>
      <c r="H67" s="836"/>
      <c r="I67" s="836"/>
      <c r="J67" s="836"/>
      <c r="K67" s="836"/>
    </row>
    <row r="68" spans="3:11" s="837" customFormat="1">
      <c r="E68" s="836"/>
      <c r="F68" s="836"/>
      <c r="G68" s="836"/>
      <c r="H68" s="836"/>
      <c r="I68" s="836"/>
      <c r="J68" s="836"/>
      <c r="K68" s="836"/>
    </row>
    <row r="69" spans="3:11" s="837" customFormat="1">
      <c r="E69" s="836"/>
      <c r="F69" s="836"/>
      <c r="G69" s="836"/>
      <c r="H69" s="836"/>
      <c r="I69" s="836"/>
      <c r="J69" s="836"/>
      <c r="K69" s="836"/>
    </row>
    <row r="70" spans="3:11" s="837" customFormat="1">
      <c r="E70" s="836"/>
      <c r="F70" s="836"/>
      <c r="G70" s="836"/>
      <c r="H70" s="836"/>
      <c r="I70" s="836"/>
      <c r="J70" s="836"/>
      <c r="K70" s="836"/>
    </row>
    <row r="71" spans="3:11" s="837" customFormat="1" ht="16.5">
      <c r="C71" s="831"/>
      <c r="E71" s="836"/>
      <c r="F71" s="836"/>
      <c r="G71" s="836"/>
      <c r="H71" s="836"/>
      <c r="I71" s="836"/>
      <c r="J71" s="836"/>
      <c r="K71" s="836"/>
    </row>
    <row r="72" spans="3:11" s="837" customFormat="1">
      <c r="E72" s="836"/>
      <c r="F72" s="836"/>
      <c r="G72" s="826"/>
      <c r="H72" s="826"/>
      <c r="I72" s="826"/>
      <c r="J72" s="826"/>
      <c r="K72" s="826"/>
    </row>
    <row r="73" spans="3:11" s="837" customFormat="1">
      <c r="E73" s="836"/>
      <c r="F73" s="836"/>
      <c r="G73" s="836"/>
      <c r="H73" s="836"/>
      <c r="I73" s="836"/>
      <c r="J73" s="836"/>
      <c r="K73" s="836"/>
    </row>
    <row r="74" spans="3:11" s="837" customFormat="1">
      <c r="E74" s="836"/>
      <c r="F74" s="836"/>
      <c r="G74" s="836"/>
      <c r="H74" s="836"/>
      <c r="I74" s="836"/>
      <c r="J74" s="836"/>
      <c r="K74" s="836"/>
    </row>
    <row r="75" spans="3:11" s="837" customFormat="1">
      <c r="E75" s="836"/>
      <c r="F75" s="836"/>
      <c r="G75" s="836"/>
      <c r="H75" s="836"/>
      <c r="I75" s="863"/>
      <c r="J75" s="836"/>
      <c r="K75" s="836"/>
    </row>
    <row r="76" spans="3:11" s="837" customFormat="1">
      <c r="E76" s="836"/>
      <c r="F76" s="836"/>
      <c r="G76" s="836"/>
      <c r="H76" s="836"/>
      <c r="I76" s="836"/>
      <c r="J76" s="836"/>
      <c r="K76" s="836"/>
    </row>
    <row r="77" spans="3:11" s="837" customFormat="1">
      <c r="E77" s="836"/>
      <c r="F77" s="836"/>
      <c r="G77" s="836"/>
      <c r="H77" s="836"/>
      <c r="I77" s="836"/>
      <c r="J77" s="836"/>
      <c r="K77" s="836"/>
    </row>
    <row r="78" spans="3:11" s="837" customFormat="1">
      <c r="E78" s="836"/>
      <c r="F78" s="836"/>
      <c r="G78" s="836"/>
      <c r="H78" s="836"/>
      <c r="I78" s="836"/>
      <c r="J78" s="836"/>
      <c r="K78" s="836"/>
    </row>
    <row r="79" spans="3:11" s="837" customFormat="1">
      <c r="E79" s="836"/>
      <c r="F79" s="836"/>
      <c r="G79" s="836"/>
      <c r="H79" s="836"/>
      <c r="I79" s="836"/>
      <c r="J79" s="836"/>
      <c r="K79" s="836"/>
    </row>
    <row r="80" spans="3:11" s="837" customFormat="1">
      <c r="E80" s="836"/>
      <c r="F80" s="836"/>
      <c r="G80" s="836"/>
      <c r="H80" s="836"/>
      <c r="I80" s="836"/>
      <c r="J80" s="836"/>
      <c r="K80" s="836"/>
    </row>
    <row r="81" spans="3:16" s="837" customFormat="1">
      <c r="E81" s="836"/>
      <c r="F81" s="836"/>
      <c r="G81" s="836"/>
      <c r="H81" s="836"/>
      <c r="I81" s="836"/>
      <c r="J81" s="836"/>
      <c r="K81" s="836"/>
    </row>
    <row r="82" spans="3:16" s="837" customFormat="1">
      <c r="E82" s="836"/>
      <c r="F82" s="836"/>
      <c r="G82" s="836"/>
      <c r="H82" s="836"/>
      <c r="I82" s="836"/>
      <c r="J82" s="836"/>
      <c r="K82" s="836"/>
    </row>
    <row r="83" spans="3:16" s="837" customFormat="1">
      <c r="E83" s="836"/>
      <c r="F83" s="836"/>
      <c r="G83" s="836"/>
      <c r="H83" s="836"/>
      <c r="I83" s="836"/>
      <c r="J83" s="836"/>
      <c r="K83" s="836"/>
    </row>
    <row r="84" spans="3:16" s="836" customFormat="1" ht="16.5">
      <c r="C84" s="808"/>
      <c r="D84" s="808"/>
      <c r="L84" s="837"/>
      <c r="M84" s="837"/>
      <c r="N84" s="837"/>
      <c r="O84" s="837"/>
      <c r="P84" s="837"/>
    </row>
    <row r="85" spans="3:16" s="837" customFormat="1">
      <c r="E85" s="836"/>
      <c r="F85" s="836"/>
      <c r="G85" s="836"/>
      <c r="H85" s="836"/>
      <c r="I85" s="836"/>
      <c r="J85" s="836"/>
      <c r="K85" s="836"/>
    </row>
    <row r="86" spans="3:16" s="836" customFormat="1" ht="16.5">
      <c r="C86" s="808"/>
      <c r="D86" s="808"/>
      <c r="L86" s="837"/>
      <c r="M86" s="837"/>
      <c r="N86" s="837"/>
      <c r="O86" s="837"/>
      <c r="P86" s="837"/>
    </row>
    <row r="87" spans="3:16" s="805" customFormat="1">
      <c r="E87" s="807"/>
      <c r="F87" s="807"/>
      <c r="G87" s="807"/>
      <c r="H87" s="807"/>
      <c r="I87" s="807"/>
      <c r="J87" s="807"/>
      <c r="K87" s="807"/>
    </row>
    <row r="88" spans="3:16" s="805" customFormat="1">
      <c r="E88" s="807"/>
      <c r="F88" s="807"/>
      <c r="G88" s="807"/>
      <c r="H88" s="807"/>
      <c r="I88" s="807"/>
      <c r="J88" s="807"/>
      <c r="K88" s="807"/>
    </row>
    <row r="100" spans="3:16" s="270" customFormat="1" ht="16.5" thickBot="1">
      <c r="C100" s="269"/>
      <c r="D100" s="269"/>
      <c r="E100" s="272"/>
      <c r="F100" s="271"/>
      <c r="L100" s="269"/>
      <c r="M100" s="269"/>
      <c r="N100" s="269"/>
      <c r="O100" s="269"/>
      <c r="P100" s="269"/>
    </row>
  </sheetData>
  <mergeCells count="4">
    <mergeCell ref="C4:K4"/>
    <mergeCell ref="E7:G7"/>
    <mergeCell ref="I7:K7"/>
    <mergeCell ref="B2:L2"/>
  </mergeCells>
  <pageMargins left="0.5" right="0.25" top="0.75" bottom="0.75" header="0.3" footer="0.3"/>
  <pageSetup paperSize="9" scale="79" orientation="portrait" r:id="rId1"/>
  <headerFooter>
    <oddFooter>&amp;C&amp;"Book Antiqua,Regular"&amp;12 6</oddFooter>
  </headerFooter>
</worksheet>
</file>

<file path=xl/worksheets/sheet16.xml><?xml version="1.0" encoding="utf-8"?>
<worksheet xmlns="http://schemas.openxmlformats.org/spreadsheetml/2006/main" xmlns:r="http://schemas.openxmlformats.org/officeDocument/2006/relationships">
  <sheetPr>
    <tabColor rgb="FFFF0000"/>
    <pageSetUpPr fitToPage="1"/>
  </sheetPr>
  <dimension ref="B1:AC36"/>
  <sheetViews>
    <sheetView view="pageBreakPreview" zoomScale="85" zoomScaleSheetLayoutView="85" workbookViewId="0">
      <pane xSplit="3" ySplit="8" topLeftCell="D9" activePane="bottomRight" state="frozen"/>
      <selection activeCell="C38" sqref="C38"/>
      <selection pane="topRight" activeCell="C38" sqref="C38"/>
      <selection pane="bottomLeft" activeCell="C38" sqref="C38"/>
      <selection pane="bottomRight" activeCell="C38" sqref="C38"/>
    </sheetView>
  </sheetViews>
  <sheetFormatPr defaultRowHeight="15"/>
  <cols>
    <col min="1" max="1" width="9.140625" style="174"/>
    <col min="2" max="2" width="1.5703125" style="174" customWidth="1"/>
    <col min="3" max="3" width="43.28515625" style="174" customWidth="1"/>
    <col min="4" max="5" width="12.7109375" style="174" customWidth="1"/>
    <col min="6" max="6" width="0.85546875" style="174" customWidth="1"/>
    <col min="7" max="8" width="12.7109375" style="174" customWidth="1"/>
    <col min="9" max="9" width="1.140625" style="174" customWidth="1"/>
    <col min="10" max="11" width="12.7109375" style="174" customWidth="1"/>
    <col min="12" max="12" width="0.7109375" style="174" customWidth="1"/>
    <col min="13" max="14" width="12.7109375" style="174" customWidth="1"/>
    <col min="15" max="15" width="0.85546875" style="174" customWidth="1"/>
    <col min="16" max="17" width="12.7109375" style="174" customWidth="1"/>
    <col min="18" max="18" width="0.85546875" style="174" customWidth="1"/>
    <col min="19" max="20" width="12.7109375" style="174" customWidth="1"/>
    <col min="21" max="21" width="0.85546875" style="174" customWidth="1"/>
    <col min="22" max="22" width="13.42578125" style="174" customWidth="1"/>
    <col min="23" max="23" width="12.7109375" style="174" customWidth="1"/>
    <col min="24" max="24" width="1.7109375" style="174" customWidth="1"/>
    <col min="25" max="25" width="19" style="172" customWidth="1"/>
    <col min="26" max="26" width="0.85546875" style="172" customWidth="1"/>
    <col min="27" max="27" width="18.140625" style="172" bestFit="1" customWidth="1"/>
    <col min="28" max="28" width="15.85546875" style="173" customWidth="1"/>
    <col min="29" max="29" width="22.140625" style="173" bestFit="1" customWidth="1"/>
    <col min="30" max="16384" width="9.140625" style="174"/>
  </cols>
  <sheetData>
    <row r="1" spans="2:29" ht="79.5" customHeight="1">
      <c r="C1" s="1737" t="s">
        <v>517</v>
      </c>
      <c r="D1" s="1737"/>
      <c r="E1" s="1737"/>
      <c r="F1" s="1737"/>
      <c r="G1" s="1737"/>
      <c r="H1" s="1737"/>
      <c r="I1" s="1737"/>
      <c r="J1" s="1737"/>
      <c r="K1" s="1737"/>
      <c r="L1" s="1737"/>
      <c r="M1" s="1737"/>
      <c r="N1" s="1737"/>
      <c r="O1" s="1737"/>
      <c r="P1" s="1737"/>
      <c r="Q1" s="1737"/>
      <c r="R1" s="1737"/>
      <c r="S1" s="1737"/>
      <c r="T1" s="1737"/>
      <c r="U1" s="1737"/>
      <c r="V1" s="1737"/>
      <c r="W1" s="1737"/>
      <c r="X1" s="883"/>
      <c r="Y1" s="882"/>
      <c r="Z1" s="882"/>
      <c r="AA1" s="882"/>
    </row>
    <row r="3" spans="2:29" ht="18.75">
      <c r="C3" s="1745" t="s">
        <v>207</v>
      </c>
      <c r="D3" s="1745"/>
      <c r="E3" s="1745"/>
      <c r="F3" s="1745"/>
      <c r="G3" s="1745"/>
      <c r="H3" s="1745"/>
      <c r="I3" s="1745"/>
      <c r="J3" s="1745"/>
      <c r="K3" s="1745"/>
      <c r="L3" s="1745"/>
      <c r="M3" s="1745"/>
      <c r="N3" s="1745"/>
      <c r="O3" s="1745"/>
      <c r="P3" s="1745"/>
      <c r="Q3" s="1745"/>
      <c r="R3" s="1745"/>
      <c r="S3" s="1745"/>
      <c r="T3" s="1745"/>
      <c r="U3" s="1745"/>
      <c r="V3" s="1745"/>
      <c r="W3" s="1745"/>
      <c r="X3" s="250"/>
    </row>
    <row r="4" spans="2:29" ht="16.5" thickBot="1">
      <c r="C4" s="881"/>
      <c r="D4" s="250"/>
      <c r="E4" s="250"/>
      <c r="F4" s="250"/>
      <c r="G4" s="250"/>
      <c r="H4" s="250"/>
      <c r="I4" s="250"/>
      <c r="J4" s="250"/>
      <c r="K4" s="250"/>
      <c r="L4" s="250"/>
      <c r="M4" s="250"/>
      <c r="N4" s="250"/>
      <c r="O4" s="250"/>
      <c r="P4" s="250"/>
      <c r="Q4" s="250"/>
      <c r="R4" s="250"/>
      <c r="S4" s="250"/>
      <c r="T4" s="250"/>
      <c r="U4" s="250"/>
      <c r="V4" s="250"/>
      <c r="W4" s="250"/>
      <c r="X4" s="250"/>
    </row>
    <row r="5" spans="2:29" s="884" customFormat="1" ht="16.5">
      <c r="B5" s="914"/>
      <c r="C5" s="915"/>
      <c r="D5" s="916"/>
      <c r="E5" s="916"/>
      <c r="F5" s="916"/>
      <c r="G5" s="915"/>
      <c r="H5" s="916"/>
      <c r="I5" s="916"/>
      <c r="J5" s="916"/>
      <c r="K5" s="916"/>
      <c r="L5" s="916"/>
      <c r="M5" s="916"/>
      <c r="N5" s="916"/>
      <c r="O5" s="916"/>
      <c r="P5" s="916"/>
      <c r="Q5" s="916"/>
      <c r="R5" s="916"/>
      <c r="S5" s="916"/>
      <c r="T5" s="916"/>
      <c r="U5" s="916"/>
      <c r="V5" s="916"/>
      <c r="W5" s="916"/>
      <c r="X5" s="917"/>
      <c r="Y5" s="887"/>
      <c r="Z5" s="887"/>
      <c r="AA5" s="888"/>
      <c r="AB5" s="889"/>
      <c r="AC5" s="889"/>
    </row>
    <row r="6" spans="2:29" s="884" customFormat="1" ht="17.25" thickBot="1">
      <c r="B6" s="918"/>
      <c r="C6" s="885"/>
      <c r="D6" s="1747" t="s">
        <v>470</v>
      </c>
      <c r="E6" s="1747"/>
      <c r="F6" s="890"/>
      <c r="G6" s="1747" t="s">
        <v>252</v>
      </c>
      <c r="H6" s="1747"/>
      <c r="I6" s="890"/>
      <c r="J6" s="1747" t="s">
        <v>456</v>
      </c>
      <c r="K6" s="1747"/>
      <c r="L6" s="890"/>
      <c r="M6" s="1747" t="s">
        <v>192</v>
      </c>
      <c r="N6" s="1747"/>
      <c r="O6" s="890"/>
      <c r="P6" s="1747" t="s">
        <v>193</v>
      </c>
      <c r="Q6" s="1747"/>
      <c r="R6" s="890"/>
      <c r="S6" s="1747" t="s">
        <v>194</v>
      </c>
      <c r="T6" s="1747"/>
      <c r="U6" s="890"/>
      <c r="V6" s="1747" t="s">
        <v>13</v>
      </c>
      <c r="W6" s="1747"/>
      <c r="X6" s="919"/>
      <c r="Y6" s="887"/>
      <c r="Z6" s="887"/>
      <c r="AA6" s="888"/>
      <c r="AB6" s="889"/>
      <c r="AC6" s="889"/>
    </row>
    <row r="7" spans="2:29" s="884" customFormat="1" ht="16.5">
      <c r="B7" s="918"/>
      <c r="C7" s="885" t="s">
        <v>156</v>
      </c>
      <c r="D7" s="891">
        <v>2014</v>
      </c>
      <c r="E7" s="892">
        <v>2013</v>
      </c>
      <c r="F7" s="892"/>
      <c r="G7" s="891">
        <f>D7</f>
        <v>2014</v>
      </c>
      <c r="H7" s="892">
        <f>E7</f>
        <v>2013</v>
      </c>
      <c r="I7" s="892"/>
      <c r="J7" s="891">
        <f>G7</f>
        <v>2014</v>
      </c>
      <c r="K7" s="892">
        <f>H7</f>
        <v>2013</v>
      </c>
      <c r="L7" s="892"/>
      <c r="M7" s="891">
        <f>J7</f>
        <v>2014</v>
      </c>
      <c r="N7" s="892">
        <f>K7</f>
        <v>2013</v>
      </c>
      <c r="O7" s="892"/>
      <c r="P7" s="891">
        <f>G7</f>
        <v>2014</v>
      </c>
      <c r="Q7" s="892">
        <f>H7</f>
        <v>2013</v>
      </c>
      <c r="R7" s="892"/>
      <c r="S7" s="891">
        <f>P7</f>
        <v>2014</v>
      </c>
      <c r="T7" s="892">
        <f>Q7</f>
        <v>2013</v>
      </c>
      <c r="U7" s="892"/>
      <c r="V7" s="891">
        <f>S7</f>
        <v>2014</v>
      </c>
      <c r="W7" s="892">
        <f>T7</f>
        <v>2013</v>
      </c>
      <c r="X7" s="920"/>
      <c r="Y7" s="887"/>
      <c r="Z7" s="887"/>
      <c r="AA7" s="888"/>
      <c r="AB7" s="889"/>
      <c r="AC7" s="889"/>
    </row>
    <row r="8" spans="2:29" s="884" customFormat="1" ht="16.5">
      <c r="B8" s="918"/>
      <c r="C8" s="893"/>
      <c r="D8" s="894" t="s">
        <v>150</v>
      </c>
      <c r="E8" s="895" t="s">
        <v>150</v>
      </c>
      <c r="F8" s="895"/>
      <c r="G8" s="894" t="s">
        <v>150</v>
      </c>
      <c r="H8" s="895" t="s">
        <v>150</v>
      </c>
      <c r="I8" s="895"/>
      <c r="J8" s="894" t="s">
        <v>150</v>
      </c>
      <c r="K8" s="895" t="s">
        <v>150</v>
      </c>
      <c r="L8" s="895"/>
      <c r="M8" s="894" t="s">
        <v>150</v>
      </c>
      <c r="N8" s="895" t="s">
        <v>150</v>
      </c>
      <c r="O8" s="895"/>
      <c r="P8" s="894" t="s">
        <v>150</v>
      </c>
      <c r="Q8" s="895" t="s">
        <v>150</v>
      </c>
      <c r="R8" s="895"/>
      <c r="S8" s="894" t="s">
        <v>150</v>
      </c>
      <c r="T8" s="895" t="s">
        <v>150</v>
      </c>
      <c r="U8" s="895"/>
      <c r="V8" s="894" t="s">
        <v>150</v>
      </c>
      <c r="W8" s="895" t="s">
        <v>150</v>
      </c>
      <c r="X8" s="919"/>
      <c r="Y8" s="887"/>
      <c r="Z8" s="887"/>
      <c r="AA8" s="888"/>
      <c r="AB8" s="889"/>
      <c r="AC8" s="889"/>
    </row>
    <row r="9" spans="2:29" s="884" customFormat="1" ht="16.5">
      <c r="B9" s="918"/>
      <c r="C9" s="885"/>
      <c r="D9" s="896"/>
      <c r="E9" s="890"/>
      <c r="F9" s="890"/>
      <c r="G9" s="896"/>
      <c r="H9" s="890"/>
      <c r="I9" s="890"/>
      <c r="J9" s="896"/>
      <c r="K9" s="890"/>
      <c r="L9" s="890"/>
      <c r="M9" s="896"/>
      <c r="N9" s="890"/>
      <c r="O9" s="890"/>
      <c r="P9" s="896"/>
      <c r="Q9" s="890"/>
      <c r="R9" s="890"/>
      <c r="S9" s="896"/>
      <c r="T9" s="890"/>
      <c r="U9" s="890"/>
      <c r="V9" s="896"/>
      <c r="W9" s="890"/>
      <c r="X9" s="919"/>
      <c r="Y9" s="887"/>
      <c r="Z9" s="887"/>
      <c r="AA9" s="888"/>
      <c r="AB9" s="889"/>
      <c r="AC9" s="889"/>
    </row>
    <row r="10" spans="2:29" s="884" customFormat="1" ht="15.75">
      <c r="B10" s="918"/>
      <c r="C10" s="937" t="s">
        <v>79</v>
      </c>
      <c r="D10" s="938">
        <f>ROUND('Segment final'!B7/1000000,0)</f>
        <v>3785</v>
      </c>
      <c r="E10" s="939">
        <f>ROUND('Segment final'!C7/1000000,0)</f>
        <v>3996</v>
      </c>
      <c r="F10" s="939"/>
      <c r="G10" s="938">
        <f>ROUND('Segment final'!E7/1000000,0)</f>
        <v>783</v>
      </c>
      <c r="H10" s="939">
        <f>ROUND('Segment final'!F7/1000000,0)</f>
        <v>538</v>
      </c>
      <c r="I10" s="939"/>
      <c r="J10" s="938">
        <f>ROUND('Segment final'!H7/1000000,0)</f>
        <v>194</v>
      </c>
      <c r="K10" s="939">
        <f>ROUND('Segment final'!I7/1000000,0)</f>
        <v>171</v>
      </c>
      <c r="L10" s="939"/>
      <c r="M10" s="938">
        <f>ROUND('Segment final'!K7/1000000,0)</f>
        <v>77</v>
      </c>
      <c r="N10" s="939">
        <f>ROUND('Segment final'!L7/1000000,0)</f>
        <v>85</v>
      </c>
      <c r="O10" s="939"/>
      <c r="P10" s="938">
        <f>ROUND('Segment final'!N7/1000000,0)+1</f>
        <v>259</v>
      </c>
      <c r="Q10" s="939">
        <f>ROUND('Segment final'!O7/1000000,0)</f>
        <v>74</v>
      </c>
      <c r="R10" s="939"/>
      <c r="S10" s="938">
        <f>ROUND('Segment final'!Q7/1000000,0)-2</f>
        <v>-64</v>
      </c>
      <c r="T10" s="939">
        <f>ROUND('Segment final'!R7/1000000,0)</f>
        <v>-38</v>
      </c>
      <c r="U10" s="939"/>
      <c r="V10" s="938">
        <f>D10+G10+J10+M10+P10+S10</f>
        <v>5034</v>
      </c>
      <c r="W10" s="939">
        <f>E10+H10+K10+N10+Q10+T10</f>
        <v>4826</v>
      </c>
      <c r="X10" s="921"/>
      <c r="Y10" s="685">
        <f>'2 (IS)'!K10</f>
        <v>12980952</v>
      </c>
      <c r="Z10" s="685"/>
      <c r="AA10" s="685">
        <f>'2 (IS)'!M10</f>
        <v>16809667</v>
      </c>
      <c r="AB10" s="889">
        <f>V10-Y10</f>
        <v>-12975918</v>
      </c>
      <c r="AC10" s="889">
        <f>W10-AA10</f>
        <v>-16804841</v>
      </c>
    </row>
    <row r="11" spans="2:29" s="884" customFormat="1" ht="15.75">
      <c r="B11" s="918"/>
      <c r="C11" s="937" t="s">
        <v>195</v>
      </c>
      <c r="D11" s="938">
        <f>ROUND('Segment final'!B8/1000000,0)</f>
        <v>0</v>
      </c>
      <c r="E11" s="939">
        <f>ROUND('Segment final'!C8/1000000,0)</f>
        <v>0</v>
      </c>
      <c r="F11" s="939"/>
      <c r="G11" s="938">
        <f>ROUND('Segment final'!E8/1000000,0)</f>
        <v>0</v>
      </c>
      <c r="H11" s="939">
        <f>ROUND('Segment final'!F8/1000000,0)</f>
        <v>0</v>
      </c>
      <c r="I11" s="939"/>
      <c r="J11" s="938">
        <f>ROUND('Segment final'!H8/1000000,0)</f>
        <v>0</v>
      </c>
      <c r="K11" s="939">
        <f>ROUND('Segment final'!I8/1000000,0)</f>
        <v>0</v>
      </c>
      <c r="L11" s="939"/>
      <c r="M11" s="938">
        <f>ROUND('Segment final'!K8/1000000,0)</f>
        <v>731</v>
      </c>
      <c r="N11" s="939">
        <f>ROUND('Segment final'!L8/1000000,0)</f>
        <v>665</v>
      </c>
      <c r="O11" s="939"/>
      <c r="P11" s="938">
        <f>ROUND('Segment final'!N8/1000000,0)</f>
        <v>0</v>
      </c>
      <c r="Q11" s="939">
        <f>ROUND('Segment final'!O8/1000000,0)</f>
        <v>0</v>
      </c>
      <c r="R11" s="939"/>
      <c r="S11" s="938">
        <f>ROUND('Segment final'!Q8/1000000,0)</f>
        <v>-14</v>
      </c>
      <c r="T11" s="939">
        <f>ROUND('Segment final'!R8/1000000,0)</f>
        <v>0</v>
      </c>
      <c r="U11" s="939"/>
      <c r="V11" s="938">
        <f t="shared" ref="V11:V13" si="0">D11+G11+J11+M11+P11+S11</f>
        <v>717</v>
      </c>
      <c r="W11" s="939">
        <f t="shared" ref="W11:W13" si="1">E11+H11+K11+N11+Q11+T11</f>
        <v>665</v>
      </c>
      <c r="X11" s="921"/>
      <c r="Y11" s="685">
        <f>'2 (IS)'!K16</f>
        <v>2550367</v>
      </c>
      <c r="Z11" s="685"/>
      <c r="AA11" s="685">
        <f>'2 (IS)'!M16</f>
        <v>2564114</v>
      </c>
      <c r="AB11" s="889">
        <f t="shared" ref="AB11:AB23" si="2">V11-Y11</f>
        <v>-2549650</v>
      </c>
      <c r="AC11" s="889">
        <f t="shared" ref="AC11:AC23" si="3">W11-AA11</f>
        <v>-2563449</v>
      </c>
    </row>
    <row r="12" spans="2:29" s="884" customFormat="1" ht="15.75">
      <c r="B12" s="918"/>
      <c r="C12" s="937" t="s">
        <v>196</v>
      </c>
      <c r="D12" s="938">
        <f>ROUND('Segment final'!B9/1000000,0)</f>
        <v>153</v>
      </c>
      <c r="E12" s="939">
        <f>ROUND('Segment final'!C9/1000000,0)</f>
        <v>125</v>
      </c>
      <c r="F12" s="939"/>
      <c r="G12" s="938">
        <f>ROUND('Segment final'!E9/1000000,0)</f>
        <v>32</v>
      </c>
      <c r="H12" s="939">
        <f>ROUND('Segment final'!F9/1000000,0)</f>
        <v>17</v>
      </c>
      <c r="I12" s="939"/>
      <c r="J12" s="938">
        <f>ROUND('Segment final'!H9/1000000,0)</f>
        <v>8</v>
      </c>
      <c r="K12" s="939">
        <f>ROUND('Segment final'!I9/1000000,0)</f>
        <v>5</v>
      </c>
      <c r="L12" s="939"/>
      <c r="M12" s="938">
        <f>ROUND('Segment final'!K9/1000000,0)</f>
        <v>0</v>
      </c>
      <c r="N12" s="939">
        <f>ROUND('Segment final'!L9/1000000,0)</f>
        <v>0</v>
      </c>
      <c r="O12" s="939"/>
      <c r="P12" s="938">
        <f>ROUND('Segment final'!N9/1000000,0)-1</f>
        <v>66</v>
      </c>
      <c r="Q12" s="939">
        <f>ROUND('Segment final'!O9/1000000,0)</f>
        <v>66</v>
      </c>
      <c r="R12" s="939"/>
      <c r="S12" s="938">
        <f>ROUND('Segment final'!Q9/1000000,0)+1</f>
        <v>-162</v>
      </c>
      <c r="T12" s="939">
        <f>ROUND('Segment final'!R9/1000000,0)</f>
        <v>-137</v>
      </c>
      <c r="U12" s="939"/>
      <c r="V12" s="938">
        <f t="shared" si="0"/>
        <v>97</v>
      </c>
      <c r="W12" s="939">
        <f t="shared" si="1"/>
        <v>76</v>
      </c>
      <c r="X12" s="921"/>
      <c r="Y12" s="685">
        <f>'2 (IS)'!K15</f>
        <v>550007</v>
      </c>
      <c r="Z12" s="685"/>
      <c r="AA12" s="685">
        <f>'2 (IS)'!M15</f>
        <v>624819</v>
      </c>
      <c r="AB12" s="889">
        <f t="shared" si="2"/>
        <v>-549910</v>
      </c>
      <c r="AC12" s="889">
        <f t="shared" si="3"/>
        <v>-624743</v>
      </c>
    </row>
    <row r="13" spans="2:29" s="884" customFormat="1" ht="15.75">
      <c r="B13" s="918"/>
      <c r="C13" s="936" t="s">
        <v>197</v>
      </c>
      <c r="D13" s="899">
        <f>ROUND('Segment final'!B10/1000000,0)</f>
        <v>0</v>
      </c>
      <c r="E13" s="900">
        <f>ROUND('Segment final'!C10/1000000,0)</f>
        <v>0</v>
      </c>
      <c r="F13" s="900"/>
      <c r="G13" s="899">
        <f>ROUND('Segment final'!E10/1000000,0)</f>
        <v>0</v>
      </c>
      <c r="H13" s="900">
        <f>ROUND('Segment final'!F10/1000000,0)</f>
        <v>0</v>
      </c>
      <c r="I13" s="900"/>
      <c r="J13" s="899">
        <f>ROUND('Segment final'!H10/1000000,0)</f>
        <v>0</v>
      </c>
      <c r="K13" s="900">
        <f>ROUND('Segment final'!I10/1000000,0)</f>
        <v>0</v>
      </c>
      <c r="L13" s="900"/>
      <c r="M13" s="899">
        <f>ROUND('Segment final'!K10/1000000,0)</f>
        <v>33</v>
      </c>
      <c r="N13" s="900">
        <f>ROUND('Segment final'!L10/1000000,0)</f>
        <v>16</v>
      </c>
      <c r="O13" s="900"/>
      <c r="P13" s="899">
        <f>ROUND('Segment final'!N10/1000000,0)+1</f>
        <v>86</v>
      </c>
      <c r="Q13" s="900">
        <f>ROUND('Segment final'!O10/1000000,0)+1</f>
        <v>6</v>
      </c>
      <c r="R13" s="900"/>
      <c r="S13" s="899">
        <f>ROUND('Segment final'!Q10/1000000,0)</f>
        <v>-13</v>
      </c>
      <c r="T13" s="900">
        <f>ROUND('Segment final'!R10/1000000,0)</f>
        <v>-12</v>
      </c>
      <c r="U13" s="900"/>
      <c r="V13" s="899">
        <f t="shared" si="0"/>
        <v>106</v>
      </c>
      <c r="W13" s="900">
        <f t="shared" si="1"/>
        <v>10</v>
      </c>
      <c r="X13" s="921"/>
      <c r="Y13" s="685">
        <f>'2 (IS)'!K19</f>
        <v>99796</v>
      </c>
      <c r="Z13" s="685"/>
      <c r="AA13" s="685">
        <f>'2 (IS)'!M19</f>
        <v>145115</v>
      </c>
      <c r="AB13" s="889">
        <f t="shared" ref="AB13" si="4">V13-Y13</f>
        <v>-99690</v>
      </c>
      <c r="AC13" s="889">
        <f t="shared" ref="AC13" si="5">W13-AA13</f>
        <v>-145105</v>
      </c>
    </row>
    <row r="14" spans="2:29" s="901" customFormat="1" ht="16.5">
      <c r="B14" s="922"/>
      <c r="C14" s="1352" t="s">
        <v>465</v>
      </c>
      <c r="D14" s="902">
        <f>SUM(D10:D13)</f>
        <v>3938</v>
      </c>
      <c r="E14" s="903">
        <f>SUM(E10:E13)</f>
        <v>4121</v>
      </c>
      <c r="F14" s="903"/>
      <c r="G14" s="902">
        <f>SUM(G10:G13)</f>
        <v>815</v>
      </c>
      <c r="H14" s="903">
        <f>SUM(H10:H13)</f>
        <v>555</v>
      </c>
      <c r="I14" s="903"/>
      <c r="J14" s="902">
        <f>SUM(J10:J13)</f>
        <v>202</v>
      </c>
      <c r="K14" s="903">
        <f>SUM(K10:K13)</f>
        <v>176</v>
      </c>
      <c r="L14" s="903"/>
      <c r="M14" s="902">
        <f>SUM(M10:M13)</f>
        <v>841</v>
      </c>
      <c r="N14" s="903">
        <f>SUM(N10:N13)</f>
        <v>766</v>
      </c>
      <c r="O14" s="903"/>
      <c r="P14" s="902">
        <f>SUM(P10:P13)</f>
        <v>411</v>
      </c>
      <c r="Q14" s="903">
        <f>SUM(Q10:Q13)</f>
        <v>146</v>
      </c>
      <c r="R14" s="903"/>
      <c r="S14" s="902">
        <f>SUM(S10:S13)</f>
        <v>-253</v>
      </c>
      <c r="T14" s="903">
        <f>SUM(T10:T13)</f>
        <v>-187</v>
      </c>
      <c r="U14" s="903"/>
      <c r="V14" s="902">
        <f>SUM(V10:V13)</f>
        <v>5954</v>
      </c>
      <c r="W14" s="903">
        <f>SUM(W10:W13)</f>
        <v>5577</v>
      </c>
      <c r="X14" s="923"/>
      <c r="Y14" s="904"/>
      <c r="Z14" s="904"/>
      <c r="AA14" s="905"/>
      <c r="AB14" s="889"/>
      <c r="AC14" s="889"/>
    </row>
    <row r="15" spans="2:29" s="901" customFormat="1" ht="16.5">
      <c r="B15" s="922"/>
      <c r="C15" s="886" t="s">
        <v>601</v>
      </c>
      <c r="D15" s="938">
        <f>ROUND('Segment final'!B12/1000000,0)</f>
        <v>2052</v>
      </c>
      <c r="E15" s="939">
        <f>ROUND('Segment final'!C12/1000000,0)</f>
        <v>2400</v>
      </c>
      <c r="F15" s="939"/>
      <c r="G15" s="938">
        <f>ROUND('Segment final'!E12/1000000,0)</f>
        <v>424</v>
      </c>
      <c r="H15" s="939">
        <f>ROUND('Segment final'!F12/1000000,0)</f>
        <v>323</v>
      </c>
      <c r="I15" s="939"/>
      <c r="J15" s="938">
        <f>ROUND('Segment final'!H12/1000000,0)</f>
        <v>105</v>
      </c>
      <c r="K15" s="939">
        <f>ROUND('Segment final'!I12/1000000,0)</f>
        <v>103</v>
      </c>
      <c r="L15" s="939"/>
      <c r="M15" s="938">
        <f>ROUND('Segment final'!K12/1000000,0)</f>
        <v>0</v>
      </c>
      <c r="N15" s="939">
        <f>ROUND('Segment final'!L12/1000000,0)</f>
        <v>0</v>
      </c>
      <c r="O15" s="939"/>
      <c r="P15" s="938">
        <f>ROUND('Segment final'!N12/1000000,0)</f>
        <v>140</v>
      </c>
      <c r="Q15" s="939">
        <f>ROUND('Segment final'!O12/1000000,0)-1</f>
        <v>44</v>
      </c>
      <c r="R15" s="939"/>
      <c r="S15" s="938">
        <f>ROUND('Segment final'!Q12/1000000,0)</f>
        <v>-62</v>
      </c>
      <c r="T15" s="939">
        <f>ROUND('Segment final'!R12/1000000,0)</f>
        <v>-30</v>
      </c>
      <c r="U15" s="939"/>
      <c r="V15" s="938">
        <f t="shared" ref="V15" si="6">D15+G15+J15+M15+P15+S15</f>
        <v>2659</v>
      </c>
      <c r="W15" s="939">
        <f t="shared" ref="W15" si="7">E15+H15+K15+N15+Q15+T15</f>
        <v>2840</v>
      </c>
      <c r="X15" s="923"/>
      <c r="Y15" s="904">
        <f>'2 (IS)'!K11</f>
        <v>7141595</v>
      </c>
      <c r="Z15" s="904"/>
      <c r="AA15" s="905">
        <f>'2 (IS)'!M11</f>
        <v>8301801</v>
      </c>
      <c r="AB15" s="889">
        <f t="shared" ref="AB15:AB17" si="8">V15-Y15</f>
        <v>-7138936</v>
      </c>
      <c r="AC15" s="889">
        <f t="shared" ref="AC15:AC17" si="9">W15-AA15</f>
        <v>-8298961</v>
      </c>
    </row>
    <row r="16" spans="2:29" s="884" customFormat="1" ht="15.75">
      <c r="B16" s="918"/>
      <c r="C16" s="937" t="s">
        <v>466</v>
      </c>
      <c r="D16" s="938">
        <f>D14-D15</f>
        <v>1886</v>
      </c>
      <c r="E16" s="939">
        <f>E14-E15</f>
        <v>1721</v>
      </c>
      <c r="F16" s="939"/>
      <c r="G16" s="938">
        <f>G14-G15</f>
        <v>391</v>
      </c>
      <c r="H16" s="939">
        <f>H14-H15</f>
        <v>232</v>
      </c>
      <c r="I16" s="939"/>
      <c r="J16" s="938">
        <f>J14-J15</f>
        <v>97</v>
      </c>
      <c r="K16" s="939">
        <f>K14-K15</f>
        <v>73</v>
      </c>
      <c r="L16" s="939"/>
      <c r="M16" s="938">
        <f>M14-M15</f>
        <v>841</v>
      </c>
      <c r="N16" s="939">
        <f>N14-N15</f>
        <v>766</v>
      </c>
      <c r="O16" s="939"/>
      <c r="P16" s="938">
        <f>P14-P15</f>
        <v>271</v>
      </c>
      <c r="Q16" s="939">
        <f>Q14-Q15</f>
        <v>102</v>
      </c>
      <c r="R16" s="939"/>
      <c r="S16" s="938">
        <f>S14-S15</f>
        <v>-191</v>
      </c>
      <c r="T16" s="939">
        <f>T14-T15</f>
        <v>-157</v>
      </c>
      <c r="U16" s="939"/>
      <c r="V16" s="938">
        <f>V14-V15</f>
        <v>3295</v>
      </c>
      <c r="W16" s="939">
        <f>W14-W15</f>
        <v>2737</v>
      </c>
      <c r="X16" s="921"/>
      <c r="Y16" s="685">
        <f>'2 (IS)'!K20</f>
        <v>9128238</v>
      </c>
      <c r="Z16" s="685">
        <f>'2 (IS)'!L20</f>
        <v>0</v>
      </c>
      <c r="AA16" s="685">
        <f>'2 (IS)'!M20</f>
        <v>11839643</v>
      </c>
      <c r="AB16" s="889">
        <f t="shared" si="8"/>
        <v>-9124943</v>
      </c>
      <c r="AC16" s="889">
        <f t="shared" si="9"/>
        <v>-11836906</v>
      </c>
    </row>
    <row r="17" spans="2:29" s="884" customFormat="1" ht="15.75">
      <c r="B17" s="918"/>
      <c r="C17" s="937" t="s">
        <v>603</v>
      </c>
      <c r="D17" s="938">
        <f>ROUND('Segment final'!B14/1000000,0)+1</f>
        <v>614</v>
      </c>
      <c r="E17" s="939">
        <f>ROUND('Segment final'!C14/1000000,0)+1</f>
        <v>367</v>
      </c>
      <c r="F17" s="939"/>
      <c r="G17" s="938">
        <f>ROUND('Segment final'!E14/1000000,0)</f>
        <v>18</v>
      </c>
      <c r="H17" s="939">
        <f>ROUND('Segment final'!F14/1000000,0)</f>
        <v>11</v>
      </c>
      <c r="I17" s="939"/>
      <c r="J17" s="938">
        <f>ROUND('Segment final'!H14/1000000,0)</f>
        <v>2</v>
      </c>
      <c r="K17" s="939">
        <f>ROUND('Segment final'!I14/1000000,0)</f>
        <v>1</v>
      </c>
      <c r="L17" s="939"/>
      <c r="M17" s="938">
        <f>ROUND('Segment final'!K14/1000000,0)</f>
        <v>0</v>
      </c>
      <c r="N17" s="939">
        <f>ROUND('Segment final'!L14/1000000,0)</f>
        <v>0</v>
      </c>
      <c r="O17" s="939"/>
      <c r="P17" s="938">
        <f>ROUND('Segment final'!N14/1000000,0)</f>
        <v>0</v>
      </c>
      <c r="Q17" s="939">
        <f>ROUND('Segment final'!O14/1000000,0)</f>
        <v>0</v>
      </c>
      <c r="R17" s="939"/>
      <c r="S17" s="938">
        <f>ROUND('Segment final'!Q14/1000000,0)</f>
        <v>0</v>
      </c>
      <c r="T17" s="940">
        <f>ROUND('Segment final'!R14/1000000,0)</f>
        <v>0</v>
      </c>
      <c r="U17" s="939"/>
      <c r="V17" s="938">
        <f t="shared" ref="V17:V19" si="10">D17+G17+J17+M17+P17+S17</f>
        <v>634</v>
      </c>
      <c r="W17" s="939">
        <f t="shared" ref="W17" si="11">E17+H17+K17+N17+Q17+T17</f>
        <v>379</v>
      </c>
      <c r="X17" s="921"/>
      <c r="Y17" s="685">
        <f>'2 (IS)'!K21</f>
        <v>0</v>
      </c>
      <c r="Z17" s="685"/>
      <c r="AA17" s="685">
        <f>'2 (IS)'!M21</f>
        <v>0</v>
      </c>
      <c r="AB17" s="889">
        <f t="shared" si="8"/>
        <v>634</v>
      </c>
      <c r="AC17" s="889">
        <f t="shared" si="9"/>
        <v>379</v>
      </c>
    </row>
    <row r="18" spans="2:29" s="886" customFormat="1" ht="15.75">
      <c r="B18" s="924"/>
      <c r="C18" s="886" t="s">
        <v>82</v>
      </c>
      <c r="D18" s="897">
        <f>D16-D17</f>
        <v>1272</v>
      </c>
      <c r="E18" s="898">
        <f>E16-E17</f>
        <v>1354</v>
      </c>
      <c r="F18" s="898"/>
      <c r="G18" s="897">
        <f>G16-G17</f>
        <v>373</v>
      </c>
      <c r="H18" s="898">
        <f>H16-H17</f>
        <v>221</v>
      </c>
      <c r="I18" s="898"/>
      <c r="J18" s="897">
        <f>J16-J17</f>
        <v>95</v>
      </c>
      <c r="K18" s="898">
        <f>K16-K17</f>
        <v>72</v>
      </c>
      <c r="L18" s="898"/>
      <c r="M18" s="897">
        <f>M16-M17</f>
        <v>841</v>
      </c>
      <c r="N18" s="898">
        <f>N16-N17</f>
        <v>766</v>
      </c>
      <c r="O18" s="898"/>
      <c r="P18" s="897">
        <f>P16-P17</f>
        <v>271</v>
      </c>
      <c r="Q18" s="898">
        <f>Q16-Q17</f>
        <v>102</v>
      </c>
      <c r="R18" s="898"/>
      <c r="S18" s="897">
        <f>S16-S17</f>
        <v>-191</v>
      </c>
      <c r="T18" s="1340">
        <f>T16-T17</f>
        <v>-157</v>
      </c>
      <c r="U18" s="946"/>
      <c r="V18" s="945">
        <f>V16-V17</f>
        <v>2661</v>
      </c>
      <c r="W18" s="898">
        <f>W16-W17</f>
        <v>2358</v>
      </c>
      <c r="X18" s="921"/>
      <c r="Y18" s="685">
        <f>'2 (IS)'!K25</f>
        <v>7608004</v>
      </c>
      <c r="Z18" s="685"/>
      <c r="AA18" s="685">
        <f>'2 (IS)'!M25</f>
        <v>10180992</v>
      </c>
      <c r="AB18" s="889">
        <f>V18-Y18</f>
        <v>-7605343</v>
      </c>
      <c r="AC18" s="889">
        <f t="shared" si="3"/>
        <v>-10178634</v>
      </c>
    </row>
    <row r="19" spans="2:29" s="885" customFormat="1" ht="17.25" thickBot="1">
      <c r="B19" s="925"/>
      <c r="C19" s="934" t="s">
        <v>468</v>
      </c>
      <c r="D19" s="906">
        <f>ROUND('Segment final'!B16/1000000,0)</f>
        <v>523</v>
      </c>
      <c r="E19" s="907">
        <f>ROUND('Segment final'!C16/1000000,0)</f>
        <v>804</v>
      </c>
      <c r="F19" s="907"/>
      <c r="G19" s="906">
        <f>ROUND('Segment final'!E16/1000000,0)</f>
        <v>153</v>
      </c>
      <c r="H19" s="907">
        <f>ROUND('Segment final'!F16/1000000,0)</f>
        <v>108</v>
      </c>
      <c r="I19" s="907"/>
      <c r="J19" s="906">
        <f>ROUND('Segment final'!H16/1000000,0)</f>
        <v>39</v>
      </c>
      <c r="K19" s="907">
        <f>ROUND('Segment final'!I16/1000000,0)</f>
        <v>34</v>
      </c>
      <c r="L19" s="907"/>
      <c r="M19" s="906">
        <f>ROUND('Segment final'!K16/1000000,0)</f>
        <v>346</v>
      </c>
      <c r="N19" s="907">
        <f>ROUND('Segment final'!L16/1000000,0)</f>
        <v>149</v>
      </c>
      <c r="O19" s="907"/>
      <c r="P19" s="906">
        <f>ROUND('Segment final'!N16/1000000,0)+1</f>
        <v>112</v>
      </c>
      <c r="Q19" s="907">
        <f>ROUND('Segment final'!O16/1000000,0)</f>
        <v>28</v>
      </c>
      <c r="R19" s="907"/>
      <c r="S19" s="906">
        <f>ROUND('Segment final'!Q16/1000000,0)</f>
        <v>-9</v>
      </c>
      <c r="T19" s="935">
        <f>ROUND('Segment final'!R16/1000000,0)</f>
        <v>-78</v>
      </c>
      <c r="U19" s="1338"/>
      <c r="V19" s="1339">
        <f t="shared" si="10"/>
        <v>1164</v>
      </c>
      <c r="W19" s="947">
        <f>ROUND('Segment final'!U16/1000000,0)</f>
        <v>1046</v>
      </c>
      <c r="X19" s="923"/>
      <c r="Y19" s="682">
        <f>'2 (IS)'!K34</f>
        <v>3154824</v>
      </c>
      <c r="Z19" s="682"/>
      <c r="AA19" s="682">
        <f>'2 (IS)'!M34</f>
        <v>4321433</v>
      </c>
      <c r="AB19" s="889">
        <f t="shared" si="2"/>
        <v>-3153660</v>
      </c>
      <c r="AC19" s="889">
        <f t="shared" si="3"/>
        <v>-4320387</v>
      </c>
    </row>
    <row r="20" spans="2:29" s="885" customFormat="1" ht="16.5">
      <c r="B20" s="925"/>
      <c r="C20" s="886" t="s">
        <v>473</v>
      </c>
      <c r="D20" s="902"/>
      <c r="E20" s="903"/>
      <c r="F20" s="903"/>
      <c r="G20" s="902"/>
      <c r="H20" s="903"/>
      <c r="I20" s="903"/>
      <c r="J20" s="902"/>
      <c r="K20" s="903"/>
      <c r="L20" s="903"/>
      <c r="M20" s="902"/>
      <c r="N20" s="903"/>
      <c r="O20" s="903"/>
      <c r="P20" s="902"/>
      <c r="Q20" s="903"/>
      <c r="R20" s="903"/>
      <c r="S20" s="902"/>
      <c r="T20" s="903"/>
      <c r="U20" s="903"/>
      <c r="V20" s="897">
        <f>ROUND('Segment final'!T17/1000000,0)</f>
        <v>67</v>
      </c>
      <c r="W20" s="898">
        <f>ROUND('Segment final'!U17/1000000,0)</f>
        <v>62</v>
      </c>
      <c r="X20" s="921"/>
      <c r="Y20" s="682">
        <f>'2 (IS)'!K35</f>
        <v>471768</v>
      </c>
      <c r="Z20" s="682">
        <f>'2 (IS)'!L28</f>
        <v>0</v>
      </c>
      <c r="AA20" s="682">
        <f>'2 (IS)'!M35</f>
        <v>1145089</v>
      </c>
      <c r="AB20" s="889">
        <f t="shared" ref="AB20:AB21" si="12">V20-Y20</f>
        <v>-471701</v>
      </c>
      <c r="AC20" s="889">
        <f t="shared" ref="AC20:AC21" si="13">W20-AA20</f>
        <v>-1145027</v>
      </c>
    </row>
    <row r="21" spans="2:29" s="885" customFormat="1" ht="16.5">
      <c r="B21" s="925"/>
      <c r="C21" s="937" t="s">
        <v>469</v>
      </c>
      <c r="D21" s="941"/>
      <c r="E21" s="942"/>
      <c r="F21" s="942"/>
      <c r="G21" s="941"/>
      <c r="H21" s="942"/>
      <c r="I21" s="942"/>
      <c r="J21" s="941"/>
      <c r="K21" s="942"/>
      <c r="L21" s="942"/>
      <c r="M21" s="941"/>
      <c r="N21" s="942"/>
      <c r="O21" s="942"/>
      <c r="P21" s="941"/>
      <c r="Q21" s="942"/>
      <c r="R21" s="942"/>
      <c r="S21" s="941"/>
      <c r="T21" s="942"/>
      <c r="U21" s="942"/>
      <c r="V21" s="938">
        <f>ROUND('Segment final'!T18/1000000,0)</f>
        <v>314</v>
      </c>
      <c r="W21" s="939">
        <f>ROUND('Segment final'!U18/1000000,0)</f>
        <v>303</v>
      </c>
      <c r="X21" s="921"/>
      <c r="Y21" s="682">
        <f>'2 (IS)'!K41</f>
        <v>847795</v>
      </c>
      <c r="Z21" s="682">
        <f>'2 (IS)'!L41</f>
        <v>0</v>
      </c>
      <c r="AA21" s="682">
        <f>'2 (IS)'!M41</f>
        <v>1070041</v>
      </c>
      <c r="AB21" s="889">
        <f t="shared" si="12"/>
        <v>-847481</v>
      </c>
      <c r="AC21" s="889">
        <f t="shared" si="13"/>
        <v>-1069738</v>
      </c>
    </row>
    <row r="22" spans="2:29" s="885" customFormat="1" ht="17.25" thickBot="1">
      <c r="B22" s="925"/>
      <c r="C22" s="943" t="s">
        <v>198</v>
      </c>
      <c r="D22" s="941"/>
      <c r="E22" s="942"/>
      <c r="F22" s="942"/>
      <c r="G22" s="941"/>
      <c r="H22" s="942"/>
      <c r="I22" s="942"/>
      <c r="J22" s="941"/>
      <c r="K22" s="942"/>
      <c r="L22" s="942"/>
      <c r="M22" s="941"/>
      <c r="N22" s="942"/>
      <c r="O22" s="942"/>
      <c r="P22" s="941"/>
      <c r="Q22" s="942"/>
      <c r="R22" s="942"/>
      <c r="S22" s="941"/>
      <c r="T22" s="942"/>
      <c r="U22" s="903"/>
      <c r="V22" s="906">
        <f>ROUND('Segment final'!T20/1000000,0)</f>
        <v>783</v>
      </c>
      <c r="W22" s="907">
        <f>ROUND('Segment final'!U20/1000000,0)</f>
        <v>681</v>
      </c>
      <c r="X22" s="923"/>
      <c r="Y22" s="682">
        <f>'2 (IS)'!K42</f>
        <v>1835261</v>
      </c>
      <c r="Z22" s="682">
        <f>'2 (IS)'!L42</f>
        <v>0</v>
      </c>
      <c r="AA22" s="682">
        <f>'2 (IS)'!M42</f>
        <v>2106303</v>
      </c>
      <c r="AB22" s="889">
        <f t="shared" si="2"/>
        <v>-1834478</v>
      </c>
      <c r="AC22" s="889">
        <f t="shared" si="3"/>
        <v>-2105622</v>
      </c>
    </row>
    <row r="23" spans="2:29" s="886" customFormat="1" ht="15.75">
      <c r="B23" s="924"/>
      <c r="C23" s="1355"/>
      <c r="D23" s="1356"/>
      <c r="E23" s="1357"/>
      <c r="F23" s="1357"/>
      <c r="G23" s="1356"/>
      <c r="H23" s="1357"/>
      <c r="I23" s="1357"/>
      <c r="J23" s="1356"/>
      <c r="K23" s="1357"/>
      <c r="L23" s="1357"/>
      <c r="M23" s="1356"/>
      <c r="N23" s="1357"/>
      <c r="O23" s="1357"/>
      <c r="P23" s="1356"/>
      <c r="Q23" s="1357"/>
      <c r="R23" s="1357"/>
      <c r="S23" s="1356"/>
      <c r="T23" s="1357"/>
      <c r="U23" s="898"/>
      <c r="V23" s="897"/>
      <c r="W23" s="898"/>
      <c r="X23" s="921"/>
      <c r="Y23" s="685"/>
      <c r="Z23" s="685"/>
      <c r="AA23" s="685"/>
      <c r="AB23" s="889">
        <f t="shared" si="2"/>
        <v>0</v>
      </c>
      <c r="AC23" s="889">
        <f t="shared" si="3"/>
        <v>0</v>
      </c>
    </row>
    <row r="24" spans="2:29" s="886" customFormat="1" ht="16.5">
      <c r="B24" s="924"/>
      <c r="C24" s="1353" t="s">
        <v>637</v>
      </c>
      <c r="D24" s="1339"/>
      <c r="E24" s="1354"/>
      <c r="F24" s="1354"/>
      <c r="G24" s="1339"/>
      <c r="H24" s="1354"/>
      <c r="I24" s="1354"/>
      <c r="J24" s="1339"/>
      <c r="K24" s="1354"/>
      <c r="L24" s="1354"/>
      <c r="M24" s="1339"/>
      <c r="N24" s="1354"/>
      <c r="O24" s="1354"/>
      <c r="P24" s="1339"/>
      <c r="Q24" s="1354"/>
      <c r="R24" s="1354"/>
      <c r="S24" s="1339"/>
      <c r="T24" s="1354"/>
      <c r="U24" s="1354"/>
      <c r="V24" s="1339"/>
      <c r="W24" s="1354"/>
      <c r="X24" s="921"/>
      <c r="Y24" s="685"/>
      <c r="Z24" s="685"/>
      <c r="AA24" s="685"/>
      <c r="AB24" s="889"/>
      <c r="AC24" s="889"/>
    </row>
    <row r="25" spans="2:29" s="886" customFormat="1" ht="15.75">
      <c r="B25" s="924"/>
      <c r="C25" s="937"/>
      <c r="D25" s="938"/>
      <c r="E25" s="939"/>
      <c r="F25" s="939"/>
      <c r="G25" s="938"/>
      <c r="H25" s="939"/>
      <c r="I25" s="939"/>
      <c r="J25" s="938"/>
      <c r="K25" s="939"/>
      <c r="L25" s="939"/>
      <c r="M25" s="938"/>
      <c r="N25" s="939"/>
      <c r="O25" s="939"/>
      <c r="P25" s="938"/>
      <c r="Q25" s="939"/>
      <c r="R25" s="939"/>
      <c r="S25" s="938"/>
      <c r="T25" s="939"/>
      <c r="U25" s="939"/>
      <c r="V25" s="938"/>
      <c r="W25" s="939"/>
      <c r="X25" s="921"/>
      <c r="Y25" s="685"/>
      <c r="Z25" s="685"/>
      <c r="AA25" s="685"/>
      <c r="AB25" s="889"/>
      <c r="AC25" s="889"/>
    </row>
    <row r="26" spans="2:29" s="886" customFormat="1" ht="15.75">
      <c r="B26" s="924"/>
      <c r="C26" s="886" t="s">
        <v>199</v>
      </c>
      <c r="D26" s="897">
        <f>ROUND('Segment final'!B22/1000000,0)</f>
        <v>92063</v>
      </c>
      <c r="E26" s="898">
        <f>ROUND('Segment final'!C22/1000000,0)</f>
        <v>83358</v>
      </c>
      <c r="F26" s="898"/>
      <c r="G26" s="897">
        <f>ROUND('Segment final'!E22/1000000,0)</f>
        <v>15634</v>
      </c>
      <c r="H26" s="898">
        <f>ROUND('Segment final'!F22/1000000,0)</f>
        <v>12754</v>
      </c>
      <c r="I26" s="898"/>
      <c r="J26" s="897">
        <f>ROUND('Segment final'!H22/1000000,0)</f>
        <v>5450</v>
      </c>
      <c r="K26" s="898">
        <f>ROUND('Segment final'!I22/1000000,0)</f>
        <v>4052</v>
      </c>
      <c r="L26" s="898"/>
      <c r="M26" s="897">
        <f>ROUND('Segment final'!K22/1000000,0)</f>
        <v>4423</v>
      </c>
      <c r="N26" s="898">
        <f>ROUND('Segment final'!L22/1000000,0)</f>
        <v>3510</v>
      </c>
      <c r="O26" s="898"/>
      <c r="P26" s="897">
        <f>ROUND('Segment final'!N22/1000000,0)</f>
        <v>747</v>
      </c>
      <c r="Q26" s="898">
        <f>ROUND('Segment final'!O22/1000000,0)</f>
        <v>1758</v>
      </c>
      <c r="R26" s="898"/>
      <c r="S26" s="897">
        <f>ROUND('Segment final'!Q22/1000000,0)</f>
        <v>-4579</v>
      </c>
      <c r="T26" s="898">
        <f>ROUND('Segment final'!R22/1000000,0)+2</f>
        <v>-3214</v>
      </c>
      <c r="U26" s="898"/>
      <c r="V26" s="1358">
        <f>D26+G26+P26+S26+J26+M26</f>
        <v>113738</v>
      </c>
      <c r="W26" s="908">
        <f>E26+H26+Q26+T26+K26+N26</f>
        <v>102218</v>
      </c>
      <c r="X26" s="926"/>
      <c r="Y26" s="909">
        <f>BS!K27</f>
        <v>114529806</v>
      </c>
      <c r="Z26" s="909"/>
      <c r="AA26" s="909">
        <f>BS!M27</f>
        <v>103929483</v>
      </c>
      <c r="AB26" s="889">
        <f>V26-Y26</f>
        <v>-114416068</v>
      </c>
      <c r="AC26" s="889">
        <f t="shared" ref="AC26" si="14">W26-AA26</f>
        <v>-103827265</v>
      </c>
    </row>
    <row r="27" spans="2:29" s="885" customFormat="1" ht="17.25" thickBot="1">
      <c r="B27" s="925"/>
      <c r="C27" s="934" t="s">
        <v>200</v>
      </c>
      <c r="D27" s="906">
        <f>D26</f>
        <v>92063</v>
      </c>
      <c r="E27" s="907">
        <f>E26</f>
        <v>83358</v>
      </c>
      <c r="F27" s="907"/>
      <c r="G27" s="906">
        <f>G26</f>
        <v>15634</v>
      </c>
      <c r="H27" s="907">
        <f>H26</f>
        <v>12754</v>
      </c>
      <c r="I27" s="907"/>
      <c r="J27" s="906">
        <f>J26</f>
        <v>5450</v>
      </c>
      <c r="K27" s="907">
        <f>K26</f>
        <v>4052</v>
      </c>
      <c r="L27" s="907"/>
      <c r="M27" s="906">
        <f>M26</f>
        <v>4423</v>
      </c>
      <c r="N27" s="907">
        <f>N26</f>
        <v>3510</v>
      </c>
      <c r="O27" s="907"/>
      <c r="P27" s="906">
        <f>P26</f>
        <v>747</v>
      </c>
      <c r="Q27" s="907">
        <f>Q26</f>
        <v>1758</v>
      </c>
      <c r="R27" s="907"/>
      <c r="S27" s="906">
        <f>S26</f>
        <v>-4579</v>
      </c>
      <c r="T27" s="907">
        <f>T26</f>
        <v>-3214</v>
      </c>
      <c r="U27" s="907"/>
      <c r="V27" s="906">
        <f>V26</f>
        <v>113738</v>
      </c>
      <c r="W27" s="907">
        <f>W26</f>
        <v>102218</v>
      </c>
      <c r="X27" s="923"/>
      <c r="Y27" s="904"/>
      <c r="Z27" s="904"/>
      <c r="AA27" s="904"/>
      <c r="AB27" s="889"/>
      <c r="AC27" s="889"/>
    </row>
    <row r="28" spans="2:29" s="886" customFormat="1" ht="16.5" customHeight="1">
      <c r="B28" s="924"/>
      <c r="D28" s="897"/>
      <c r="E28" s="898"/>
      <c r="F28" s="898"/>
      <c r="G28" s="897"/>
      <c r="H28" s="898"/>
      <c r="I28" s="898"/>
      <c r="J28" s="897"/>
      <c r="K28" s="898"/>
      <c r="L28" s="898"/>
      <c r="M28" s="897"/>
      <c r="N28" s="898"/>
      <c r="O28" s="898"/>
      <c r="P28" s="897"/>
      <c r="Q28" s="898"/>
      <c r="R28" s="898"/>
      <c r="S28" s="897"/>
      <c r="T28" s="898"/>
      <c r="U28" s="898"/>
      <c r="V28" s="897"/>
      <c r="W28" s="898"/>
      <c r="X28" s="921"/>
      <c r="Y28" s="887"/>
      <c r="Z28" s="887"/>
      <c r="AA28" s="888"/>
      <c r="AB28" s="889"/>
      <c r="AC28" s="889"/>
    </row>
    <row r="29" spans="2:29" s="886" customFormat="1" ht="15.75">
      <c r="B29" s="924"/>
      <c r="C29" s="944" t="s">
        <v>201</v>
      </c>
      <c r="D29" s="945">
        <f>ROUND('Segment final'!B25/1000000,0)+6</f>
        <v>75696</v>
      </c>
      <c r="E29" s="946">
        <f>ROUND('Segment final'!C25/1000000,0)</f>
        <v>67230</v>
      </c>
      <c r="F29" s="946">
        <f>ROUND('Segment final'!D25/1000000,0)</f>
        <v>0</v>
      </c>
      <c r="G29" s="945">
        <f>ROUND('Segment final'!E25/1000000,0)</f>
        <v>12853</v>
      </c>
      <c r="H29" s="946">
        <f>ROUND('Segment final'!F25/1000000,0)</f>
        <v>10286</v>
      </c>
      <c r="I29" s="946"/>
      <c r="J29" s="945">
        <f>ROUND('Segment final'!H25/1000000,0)</f>
        <v>4481</v>
      </c>
      <c r="K29" s="946">
        <f>ROUND('Segment final'!I25/1000000,0)</f>
        <v>3268</v>
      </c>
      <c r="L29" s="946"/>
      <c r="M29" s="945">
        <f>ROUND('Segment final'!K25/1000000,0)</f>
        <v>3152</v>
      </c>
      <c r="N29" s="946">
        <f>ROUND('Segment final'!L25/1000000,0)</f>
        <v>2617</v>
      </c>
      <c r="O29" s="946" t="e">
        <f>ROUND('Segment final'!#REF!/1000000,0)</f>
        <v>#REF!</v>
      </c>
      <c r="P29" s="945">
        <f>ROUND('Segment final'!N25/1000000,0)</f>
        <v>614</v>
      </c>
      <c r="Q29" s="946">
        <f>ROUND('Segment final'!O25/1000000,0)</f>
        <v>1418</v>
      </c>
      <c r="R29" s="946">
        <f>ROUND('Segment final'!P25/1000000,0)</f>
        <v>0</v>
      </c>
      <c r="S29" s="945">
        <f>ROUND('Segment final'!Q25/1000000,0)-6</f>
        <v>-2782</v>
      </c>
      <c r="T29" s="946">
        <f>ROUND('Segment final'!R25/1000000,0)+2</f>
        <v>-1546</v>
      </c>
      <c r="U29" s="946"/>
      <c r="V29" s="945">
        <f>D29+G29+P29+S29+J29+M29</f>
        <v>94014</v>
      </c>
      <c r="W29" s="946">
        <f>E29+H29+Q29+T29+K29+N29</f>
        <v>83273</v>
      </c>
      <c r="X29" s="921"/>
      <c r="Y29" s="887">
        <f>BS!K39</f>
        <v>93580066</v>
      </c>
      <c r="Z29" s="887"/>
      <c r="AA29" s="887">
        <f>BS!M39</f>
        <v>84997442</v>
      </c>
      <c r="AB29" s="889">
        <f>V29-Y29</f>
        <v>-93486052</v>
      </c>
      <c r="AC29" s="889">
        <f t="shared" ref="AC29" si="15">W29-AA29</f>
        <v>-84914169</v>
      </c>
    </row>
    <row r="30" spans="2:29" s="885" customFormat="1" ht="17.25" thickBot="1">
      <c r="B30" s="925"/>
      <c r="C30" s="934" t="s">
        <v>604</v>
      </c>
      <c r="D30" s="906">
        <f>D29</f>
        <v>75696</v>
      </c>
      <c r="E30" s="907">
        <f>E29</f>
        <v>67230</v>
      </c>
      <c r="F30" s="907"/>
      <c r="G30" s="906">
        <f>G29</f>
        <v>12853</v>
      </c>
      <c r="H30" s="907">
        <f>H29</f>
        <v>10286</v>
      </c>
      <c r="I30" s="907"/>
      <c r="J30" s="906">
        <f>J29</f>
        <v>4481</v>
      </c>
      <c r="K30" s="907">
        <f>K29</f>
        <v>3268</v>
      </c>
      <c r="L30" s="907"/>
      <c r="M30" s="906">
        <f>M29</f>
        <v>3152</v>
      </c>
      <c r="N30" s="907">
        <f>N29</f>
        <v>2617</v>
      </c>
      <c r="O30" s="907"/>
      <c r="P30" s="906">
        <f>P29</f>
        <v>614</v>
      </c>
      <c r="Q30" s="907">
        <f>Q29</f>
        <v>1418</v>
      </c>
      <c r="R30" s="907"/>
      <c r="S30" s="906">
        <f>S29</f>
        <v>-2782</v>
      </c>
      <c r="T30" s="907">
        <f>T29</f>
        <v>-1546</v>
      </c>
      <c r="U30" s="907"/>
      <c r="V30" s="906">
        <f>V29</f>
        <v>94014</v>
      </c>
      <c r="W30" s="907">
        <f>W29</f>
        <v>83273</v>
      </c>
      <c r="X30" s="923"/>
      <c r="Y30" s="904"/>
      <c r="Z30" s="904"/>
      <c r="AA30" s="904"/>
      <c r="AB30" s="910"/>
      <c r="AC30" s="910"/>
    </row>
    <row r="31" spans="2:29" s="885" customFormat="1" ht="11.25" customHeight="1" thickBot="1">
      <c r="B31" s="925"/>
      <c r="D31" s="911"/>
      <c r="E31" s="903"/>
      <c r="F31" s="903"/>
      <c r="G31" s="911"/>
      <c r="H31" s="903"/>
      <c r="I31" s="903"/>
      <c r="J31" s="911"/>
      <c r="K31" s="903"/>
      <c r="L31" s="903"/>
      <c r="M31" s="911"/>
      <c r="N31" s="903"/>
      <c r="O31" s="903"/>
      <c r="P31" s="911"/>
      <c r="Q31" s="903"/>
      <c r="R31" s="903"/>
      <c r="S31" s="911"/>
      <c r="T31" s="903"/>
      <c r="U31" s="903"/>
      <c r="V31" s="911"/>
      <c r="W31" s="903"/>
      <c r="X31" s="923"/>
      <c r="Y31" s="904"/>
      <c r="Z31" s="904"/>
      <c r="AA31" s="904"/>
      <c r="AB31" s="910"/>
      <c r="AC31" s="910"/>
    </row>
    <row r="32" spans="2:29" s="886" customFormat="1" ht="16.5">
      <c r="B32" s="924"/>
      <c r="C32" s="885"/>
      <c r="D32" s="912"/>
      <c r="E32" s="912"/>
      <c r="F32" s="912"/>
      <c r="G32" s="913"/>
      <c r="H32" s="912"/>
      <c r="I32" s="912"/>
      <c r="J32" s="912"/>
      <c r="K32" s="912"/>
      <c r="L32" s="912"/>
      <c r="M32" s="912"/>
      <c r="N32" s="912"/>
      <c r="O32" s="912"/>
      <c r="P32" s="912"/>
      <c r="Q32" s="912"/>
      <c r="R32" s="912"/>
      <c r="S32" s="912"/>
      <c r="T32" s="912"/>
      <c r="U32" s="912"/>
      <c r="V32" s="913"/>
      <c r="W32" s="912"/>
      <c r="X32" s="927"/>
      <c r="Y32" s="887"/>
      <c r="Z32" s="887"/>
      <c r="AA32" s="888"/>
      <c r="AB32" s="889"/>
      <c r="AC32" s="889"/>
    </row>
    <row r="33" spans="2:29" s="886" customFormat="1" ht="16.5">
      <c r="B33" s="924"/>
      <c r="C33" s="885"/>
      <c r="D33" s="912"/>
      <c r="E33" s="912"/>
      <c r="F33" s="912"/>
      <c r="G33" s="913"/>
      <c r="H33" s="912"/>
      <c r="I33" s="912"/>
      <c r="J33" s="912"/>
      <c r="K33" s="912"/>
      <c r="L33" s="912"/>
      <c r="M33" s="912"/>
      <c r="N33" s="912"/>
      <c r="O33" s="912"/>
      <c r="P33" s="912"/>
      <c r="Q33" s="912"/>
      <c r="R33" s="912"/>
      <c r="S33" s="912"/>
      <c r="T33" s="912"/>
      <c r="U33" s="912"/>
      <c r="V33" s="913"/>
      <c r="W33" s="912"/>
      <c r="X33" s="927"/>
      <c r="Y33" s="887"/>
      <c r="Z33" s="887"/>
      <c r="AA33" s="888"/>
      <c r="AB33" s="889"/>
      <c r="AC33" s="889"/>
    </row>
    <row r="34" spans="2:29" s="886" customFormat="1" ht="16.5">
      <c r="B34" s="924"/>
      <c r="C34" s="535" t="s">
        <v>146</v>
      </c>
      <c r="D34" s="530"/>
      <c r="E34" s="530"/>
      <c r="G34" s="885"/>
      <c r="V34" s="885"/>
      <c r="X34" s="928"/>
      <c r="Y34" s="887"/>
      <c r="Z34" s="887"/>
      <c r="AA34" s="888"/>
      <c r="AB34" s="889"/>
      <c r="AC34" s="889"/>
    </row>
    <row r="35" spans="2:29" s="884" customFormat="1" ht="15.75">
      <c r="B35" s="918"/>
      <c r="C35" s="530" t="s">
        <v>177</v>
      </c>
      <c r="D35" s="530"/>
      <c r="E35" s="530"/>
      <c r="F35" s="929"/>
      <c r="G35" s="929"/>
      <c r="H35" s="929"/>
      <c r="I35" s="929"/>
      <c r="J35" s="929"/>
      <c r="K35" s="929"/>
      <c r="L35" s="929"/>
      <c r="M35" s="929"/>
      <c r="N35" s="929"/>
      <c r="O35" s="929"/>
      <c r="P35" s="929"/>
      <c r="Q35" s="929"/>
      <c r="R35" s="929"/>
      <c r="S35" s="929"/>
      <c r="T35" s="929"/>
      <c r="U35" s="929"/>
      <c r="V35" s="929"/>
      <c r="W35" s="929"/>
      <c r="X35" s="930"/>
      <c r="Y35" s="887"/>
      <c r="Z35" s="887"/>
      <c r="AA35" s="887"/>
      <c r="AB35" s="909"/>
      <c r="AC35" s="909"/>
    </row>
    <row r="36" spans="2:29" s="884" customFormat="1" ht="16.5" thickBot="1">
      <c r="B36" s="931"/>
      <c r="C36" s="932"/>
      <c r="D36" s="932"/>
      <c r="E36" s="932"/>
      <c r="F36" s="932"/>
      <c r="G36" s="932"/>
      <c r="H36" s="932"/>
      <c r="I36" s="932"/>
      <c r="J36" s="932"/>
      <c r="K36" s="932"/>
      <c r="L36" s="932"/>
      <c r="M36" s="932"/>
      <c r="N36" s="932"/>
      <c r="O36" s="932"/>
      <c r="P36" s="932"/>
      <c r="Q36" s="932"/>
      <c r="R36" s="932"/>
      <c r="S36" s="932"/>
      <c r="T36" s="932"/>
      <c r="U36" s="932"/>
      <c r="V36" s="932"/>
      <c r="W36" s="932"/>
      <c r="X36" s="933"/>
      <c r="Y36" s="887"/>
      <c r="Z36" s="887"/>
      <c r="AA36" s="887"/>
      <c r="AB36" s="909"/>
      <c r="AC36" s="909"/>
    </row>
  </sheetData>
  <mergeCells count="9">
    <mergeCell ref="C1:W1"/>
    <mergeCell ref="C3:W3"/>
    <mergeCell ref="D6:E6"/>
    <mergeCell ref="G6:H6"/>
    <mergeCell ref="P6:Q6"/>
    <mergeCell ref="S6:T6"/>
    <mergeCell ref="V6:W6"/>
    <mergeCell ref="J6:K6"/>
    <mergeCell ref="M6:N6"/>
  </mergeCells>
  <pageMargins left="0.45" right="0.25" top="0.75" bottom="0.75" header="0.3" footer="0.3"/>
  <pageSetup paperSize="9" scale="62" orientation="landscape" r:id="rId1"/>
  <headerFooter>
    <oddFooter>&amp;C&amp;"Book Antiqua,Regular"&amp;12 7</oddFooter>
  </headerFooter>
</worksheet>
</file>

<file path=xl/worksheets/sheet17.xml><?xml version="1.0" encoding="utf-8"?>
<worksheet xmlns="http://schemas.openxmlformats.org/spreadsheetml/2006/main" xmlns:r="http://schemas.openxmlformats.org/officeDocument/2006/relationships">
  <sheetPr>
    <tabColor rgb="FFFF0000"/>
  </sheetPr>
  <dimension ref="B1:V40"/>
  <sheetViews>
    <sheetView view="pageBreakPreview" topLeftCell="A16" zoomScaleSheetLayoutView="100" workbookViewId="0">
      <selection activeCell="C38" sqref="C38"/>
    </sheetView>
  </sheetViews>
  <sheetFormatPr defaultRowHeight="15.75"/>
  <cols>
    <col min="1" max="1" width="1.5703125" style="861" customWidth="1"/>
    <col min="2" max="2" width="2.140625" style="861" customWidth="1"/>
    <col min="3" max="3" width="3.5703125" style="861" customWidth="1"/>
    <col min="4" max="4" width="9.140625" style="861"/>
    <col min="5" max="5" width="10.28515625" style="861" customWidth="1"/>
    <col min="6" max="6" width="20.5703125" style="861" customWidth="1"/>
    <col min="7" max="7" width="5.140625" style="861" customWidth="1"/>
    <col min="8" max="8" width="15.28515625" style="861" customWidth="1"/>
    <col min="9" max="9" width="16.85546875" style="861" customWidth="1"/>
    <col min="10" max="10" width="15.5703125" style="861" customWidth="1"/>
    <col min="11" max="11" width="16.7109375" style="861" customWidth="1"/>
    <col min="12" max="12" width="2.140625" style="861" customWidth="1"/>
    <col min="13" max="13" width="9.140625" style="861"/>
    <col min="14" max="14" width="15" style="861" bestFit="1" customWidth="1"/>
    <col min="15" max="15" width="16.85546875" style="861" bestFit="1" customWidth="1"/>
    <col min="16" max="16" width="15.7109375" style="861" bestFit="1" customWidth="1"/>
    <col min="17" max="17" width="16.85546875" style="861" bestFit="1" customWidth="1"/>
    <col min="18" max="16384" width="9.140625" style="861"/>
  </cols>
  <sheetData>
    <row r="1" spans="2:22" ht="77.25" customHeight="1">
      <c r="B1" s="1737" t="s">
        <v>517</v>
      </c>
      <c r="C1" s="1737"/>
      <c r="D1" s="1737"/>
      <c r="E1" s="1737"/>
      <c r="F1" s="1737"/>
      <c r="G1" s="1737"/>
      <c r="H1" s="1737"/>
      <c r="I1" s="1737"/>
      <c r="J1" s="1737"/>
      <c r="K1" s="1737"/>
      <c r="L1" s="1737"/>
      <c r="M1" s="803"/>
      <c r="N1" s="803"/>
      <c r="O1" s="803"/>
      <c r="P1" s="803"/>
      <c r="Q1" s="803"/>
      <c r="R1" s="803"/>
      <c r="S1" s="803"/>
      <c r="T1" s="803"/>
      <c r="U1" s="803"/>
      <c r="V1" s="803"/>
    </row>
    <row r="2" spans="2:22" s="948" customFormat="1" ht="16.5">
      <c r="B2" s="949"/>
      <c r="C2" s="949"/>
      <c r="D2" s="949"/>
      <c r="E2" s="949"/>
      <c r="F2" s="949"/>
      <c r="G2" s="949"/>
      <c r="H2" s="949"/>
      <c r="I2" s="949"/>
      <c r="J2" s="949"/>
      <c r="K2" s="949"/>
      <c r="L2" s="949"/>
    </row>
    <row r="3" spans="2:22" s="948" customFormat="1" ht="18.75">
      <c r="B3" s="1753" t="s">
        <v>17</v>
      </c>
      <c r="C3" s="1753"/>
      <c r="D3" s="1753"/>
      <c r="E3" s="1753"/>
      <c r="F3" s="1753"/>
      <c r="G3" s="1753"/>
      <c r="H3" s="1753"/>
      <c r="I3" s="1753"/>
      <c r="J3" s="1753"/>
      <c r="K3" s="1753"/>
      <c r="L3" s="949"/>
    </row>
    <row r="4" spans="2:22" s="948" customFormat="1" ht="19.5" thickBot="1">
      <c r="B4" s="1020"/>
      <c r="C4" s="1020"/>
      <c r="D4" s="1020"/>
      <c r="E4" s="1020"/>
      <c r="F4" s="1020"/>
      <c r="G4" s="1020"/>
      <c r="H4" s="1020"/>
      <c r="I4" s="1020"/>
      <c r="J4" s="1020"/>
      <c r="K4" s="1020"/>
      <c r="L4" s="949"/>
    </row>
    <row r="5" spans="2:22">
      <c r="B5" s="1021"/>
      <c r="C5" s="1022"/>
      <c r="D5" s="1022"/>
      <c r="E5" s="1022"/>
      <c r="F5" s="1022"/>
      <c r="G5" s="1022"/>
      <c r="H5" s="1022"/>
      <c r="I5" s="1022"/>
      <c r="J5" s="1022"/>
      <c r="K5" s="1022"/>
      <c r="L5" s="1023"/>
    </row>
    <row r="6" spans="2:22" ht="18" thickBot="1">
      <c r="B6" s="1024"/>
      <c r="C6" s="1152" t="s">
        <v>18</v>
      </c>
      <c r="D6" s="977"/>
      <c r="E6" s="977"/>
      <c r="F6" s="977"/>
      <c r="G6" s="977"/>
      <c r="H6" s="977"/>
      <c r="I6" s="977"/>
      <c r="J6" s="977"/>
      <c r="K6" s="977"/>
      <c r="L6" s="1026"/>
    </row>
    <row r="7" spans="2:22" ht="18" thickBot="1">
      <c r="B7" s="1153"/>
      <c r="C7" s="535"/>
      <c r="D7" s="535"/>
      <c r="E7" s="535"/>
      <c r="F7" s="535"/>
      <c r="G7" s="535"/>
      <c r="H7" s="535"/>
      <c r="I7" s="535"/>
      <c r="J7" s="535"/>
      <c r="K7" s="535"/>
      <c r="L7" s="1026"/>
    </row>
    <row r="8" spans="2:22" ht="17.25">
      <c r="B8" s="1153"/>
      <c r="C8" s="535"/>
      <c r="D8" s="535"/>
      <c r="E8" s="535"/>
      <c r="F8" s="535"/>
      <c r="G8" s="535"/>
      <c r="H8" s="535"/>
      <c r="I8" s="535"/>
      <c r="J8" s="975">
        <v>2014</v>
      </c>
      <c r="K8" s="952">
        <v>2013</v>
      </c>
      <c r="L8" s="1117"/>
    </row>
    <row r="9" spans="2:22" ht="17.25" thickBot="1">
      <c r="B9" s="1024"/>
      <c r="C9" s="977"/>
      <c r="D9" s="977"/>
      <c r="E9" s="977"/>
      <c r="F9" s="977"/>
      <c r="G9" s="977"/>
      <c r="H9" s="977"/>
      <c r="I9" s="977"/>
      <c r="J9" s="981" t="s">
        <v>19</v>
      </c>
      <c r="K9" s="982" t="s">
        <v>19</v>
      </c>
      <c r="L9" s="1117"/>
    </row>
    <row r="10" spans="2:22" ht="15.95" customHeight="1">
      <c r="B10" s="1024"/>
      <c r="C10" s="983" t="s">
        <v>485</v>
      </c>
      <c r="D10" s="983"/>
      <c r="E10" s="983"/>
      <c r="F10" s="983"/>
      <c r="G10" s="983"/>
      <c r="H10" s="983"/>
      <c r="I10" s="983"/>
      <c r="J10" s="984">
        <v>16.399999999999999</v>
      </c>
      <c r="K10" s="985">
        <v>15.6</v>
      </c>
      <c r="L10" s="1029"/>
    </row>
    <row r="11" spans="2:22" ht="15.95" customHeight="1">
      <c r="B11" s="1024"/>
      <c r="C11" s="986" t="s">
        <v>486</v>
      </c>
      <c r="D11" s="986"/>
      <c r="E11" s="986"/>
      <c r="F11" s="986"/>
      <c r="G11" s="986"/>
      <c r="H11" s="986"/>
      <c r="I11" s="986"/>
      <c r="J11" s="987">
        <v>14.2</v>
      </c>
      <c r="K11" s="988">
        <v>13.1</v>
      </c>
      <c r="L11" s="1029"/>
    </row>
    <row r="12" spans="2:22" ht="15.95" customHeight="1">
      <c r="B12" s="1024"/>
      <c r="C12" s="986" t="s">
        <v>487</v>
      </c>
      <c r="D12" s="986"/>
      <c r="E12" s="986"/>
      <c r="F12" s="986"/>
      <c r="G12" s="986"/>
      <c r="H12" s="986"/>
      <c r="I12" s="986"/>
      <c r="J12" s="987">
        <v>16</v>
      </c>
      <c r="K12" s="988">
        <v>14.7</v>
      </c>
      <c r="L12" s="1029"/>
    </row>
    <row r="13" spans="2:22" ht="9.75" customHeight="1" thickBot="1">
      <c r="B13" s="1024"/>
      <c r="C13" s="535"/>
      <c r="D13" s="535"/>
      <c r="E13" s="535"/>
      <c r="F13" s="535"/>
      <c r="G13" s="535"/>
      <c r="H13" s="535"/>
      <c r="I13" s="535"/>
      <c r="J13" s="976"/>
      <c r="K13" s="889"/>
      <c r="L13" s="1029"/>
    </row>
    <row r="14" spans="2:22">
      <c r="B14" s="1024"/>
      <c r="C14" s="535"/>
      <c r="D14" s="535"/>
      <c r="E14" s="535"/>
      <c r="F14" s="535"/>
      <c r="G14" s="535"/>
      <c r="H14" s="535"/>
      <c r="I14" s="535"/>
      <c r="J14" s="535"/>
      <c r="K14" s="535"/>
      <c r="L14" s="1026"/>
    </row>
    <row r="15" spans="2:22">
      <c r="B15" s="1024"/>
      <c r="C15" s="535"/>
      <c r="D15" s="535"/>
      <c r="E15" s="535"/>
      <c r="F15" s="535"/>
      <c r="G15" s="535"/>
      <c r="H15" s="535"/>
      <c r="I15" s="535"/>
      <c r="J15" s="535"/>
      <c r="K15" s="535"/>
      <c r="L15" s="1026"/>
    </row>
    <row r="16" spans="2:22" ht="18" thickBot="1">
      <c r="B16" s="1024"/>
      <c r="C16" s="1152" t="s">
        <v>20</v>
      </c>
      <c r="D16" s="977"/>
      <c r="E16" s="977"/>
      <c r="F16" s="977"/>
      <c r="G16" s="977"/>
      <c r="H16" s="977"/>
      <c r="I16" s="977"/>
      <c r="J16" s="977"/>
      <c r="K16" s="977"/>
      <c r="L16" s="1026"/>
    </row>
    <row r="17" spans="2:17" ht="15" customHeight="1">
      <c r="B17" s="1024"/>
      <c r="C17" s="989" t="s">
        <v>488</v>
      </c>
      <c r="D17" s="989"/>
      <c r="E17" s="989"/>
      <c r="F17" s="989"/>
      <c r="G17" s="989"/>
      <c r="H17" s="989"/>
      <c r="I17" s="989"/>
      <c r="J17" s="989"/>
      <c r="K17" s="989"/>
      <c r="L17" s="1026"/>
    </row>
    <row r="18" spans="2:17">
      <c r="B18" s="1024"/>
      <c r="C18" s="535"/>
      <c r="D18" s="535"/>
      <c r="E18" s="535"/>
      <c r="F18" s="535"/>
      <c r="G18" s="535"/>
      <c r="H18" s="535"/>
      <c r="I18" s="535"/>
      <c r="J18" s="535"/>
      <c r="K18" s="535"/>
      <c r="L18" s="1026"/>
    </row>
    <row r="19" spans="2:17" ht="16.5" thickBot="1">
      <c r="B19" s="1024"/>
      <c r="C19" s="535"/>
      <c r="D19" s="535"/>
      <c r="E19" s="535"/>
      <c r="F19" s="535"/>
      <c r="G19" s="535"/>
      <c r="H19" s="535"/>
      <c r="I19" s="535"/>
      <c r="J19" s="535"/>
      <c r="K19" s="535"/>
      <c r="L19" s="1026"/>
    </row>
    <row r="20" spans="2:17" ht="16.5">
      <c r="B20" s="1024"/>
      <c r="C20" s="535"/>
      <c r="D20" s="535"/>
      <c r="E20" s="535"/>
      <c r="F20" s="535"/>
      <c r="G20" s="535"/>
      <c r="H20" s="1750" t="s">
        <v>489</v>
      </c>
      <c r="I20" s="1751"/>
      <c r="J20" s="1752" t="s">
        <v>490</v>
      </c>
      <c r="K20" s="1752"/>
      <c r="L20" s="1117"/>
      <c r="N20" s="1754" t="s">
        <v>415</v>
      </c>
      <c r="O20" s="1754"/>
      <c r="P20" s="1748" t="s">
        <v>416</v>
      </c>
      <c r="Q20" s="1748"/>
    </row>
    <row r="21" spans="2:17" ht="17.25" thickBot="1">
      <c r="B21" s="1024"/>
      <c r="C21" s="977"/>
      <c r="D21" s="977"/>
      <c r="E21" s="977"/>
      <c r="F21" s="977"/>
      <c r="G21" s="977"/>
      <c r="H21" s="978" t="s">
        <v>21</v>
      </c>
      <c r="I21" s="979" t="s">
        <v>19</v>
      </c>
      <c r="J21" s="980" t="s">
        <v>21</v>
      </c>
      <c r="K21" s="980" t="s">
        <v>19</v>
      </c>
      <c r="L21" s="1154"/>
      <c r="N21" s="953" t="s">
        <v>21</v>
      </c>
      <c r="O21" s="953" t="s">
        <v>19</v>
      </c>
      <c r="P21" s="954" t="s">
        <v>21</v>
      </c>
      <c r="Q21" s="954" t="s">
        <v>19</v>
      </c>
    </row>
    <row r="22" spans="2:17" ht="16.5">
      <c r="B22" s="1024"/>
      <c r="C22" s="535"/>
      <c r="D22" s="535"/>
      <c r="E22" s="535"/>
      <c r="F22" s="535"/>
      <c r="G22" s="535"/>
      <c r="H22" s="971"/>
      <c r="I22" s="972"/>
      <c r="J22" s="535"/>
      <c r="K22" s="535"/>
      <c r="L22" s="1026"/>
      <c r="N22" s="955"/>
      <c r="O22" s="955"/>
    </row>
    <row r="23" spans="2:17">
      <c r="B23" s="1024"/>
      <c r="C23" s="989" t="s">
        <v>22</v>
      </c>
      <c r="D23" s="990"/>
      <c r="E23" s="990"/>
      <c r="F23" s="990"/>
      <c r="G23" s="990"/>
      <c r="H23" s="1251">
        <v>1579862482</v>
      </c>
      <c r="I23" s="991">
        <v>11886073308.209999</v>
      </c>
      <c r="J23" s="992">
        <v>1579862482</v>
      </c>
      <c r="K23" s="992">
        <v>11886073308</v>
      </c>
      <c r="L23" s="1155"/>
      <c r="N23" s="956">
        <v>1579862482</v>
      </c>
      <c r="O23" s="957">
        <f>O26-O24</f>
        <v>11886073308.209999</v>
      </c>
      <c r="P23" s="958">
        <v>1560000160</v>
      </c>
      <c r="Q23" s="959">
        <v>11608000800</v>
      </c>
    </row>
    <row r="24" spans="2:17">
      <c r="B24" s="1024"/>
      <c r="C24" s="986" t="s">
        <v>143</v>
      </c>
      <c r="D24" s="986"/>
      <c r="E24" s="986"/>
      <c r="F24" s="986"/>
      <c r="G24" s="986"/>
      <c r="H24" s="993">
        <v>0</v>
      </c>
      <c r="I24" s="994">
        <f>850000000+50000000</f>
        <v>900000000</v>
      </c>
      <c r="J24" s="995">
        <v>0</v>
      </c>
      <c r="K24" s="996">
        <v>700000000</v>
      </c>
      <c r="L24" s="1155"/>
      <c r="N24" s="960">
        <v>0</v>
      </c>
      <c r="O24" s="961">
        <v>750000000</v>
      </c>
      <c r="P24" s="962">
        <v>0</v>
      </c>
      <c r="Q24" s="958">
        <v>550000000</v>
      </c>
    </row>
    <row r="25" spans="2:17" ht="12.75" customHeight="1">
      <c r="B25" s="1024"/>
      <c r="C25" s="535"/>
      <c r="D25" s="535"/>
      <c r="E25" s="535"/>
      <c r="F25" s="535"/>
      <c r="G25" s="535"/>
      <c r="H25" s="997"/>
      <c r="I25" s="998"/>
      <c r="J25" s="535"/>
      <c r="K25" s="535"/>
      <c r="L25" s="1026"/>
      <c r="N25" s="963"/>
      <c r="O25" s="963"/>
      <c r="P25" s="964"/>
      <c r="Q25" s="964"/>
    </row>
    <row r="26" spans="2:17" ht="17.25" thickBot="1">
      <c r="B26" s="1024"/>
      <c r="C26" s="999" t="s">
        <v>23</v>
      </c>
      <c r="D26" s="1000"/>
      <c r="E26" s="1000"/>
      <c r="F26" s="1000"/>
      <c r="G26" s="1000"/>
      <c r="H26" s="1001">
        <v>1579862482</v>
      </c>
      <c r="I26" s="1002">
        <f>SUM(I23:I24)</f>
        <v>12786073308.209999</v>
      </c>
      <c r="J26" s="1003">
        <f>SUM(J23:J24)</f>
        <v>1579862482</v>
      </c>
      <c r="K26" s="1003">
        <f>SUM(K23:K24)</f>
        <v>12586073308</v>
      </c>
      <c r="L26" s="1156"/>
      <c r="N26" s="966">
        <f>SUM(N23+N24)</f>
        <v>1579862482</v>
      </c>
      <c r="O26" s="966">
        <v>12636073308.209999</v>
      </c>
      <c r="P26" s="967">
        <f>SUM(P23+P24)</f>
        <v>1560000160</v>
      </c>
      <c r="Q26" s="967">
        <f>Q23+Q24</f>
        <v>12158000800</v>
      </c>
    </row>
    <row r="27" spans="2:17" ht="14.25" customHeight="1" thickBot="1">
      <c r="B27" s="1024"/>
      <c r="C27" s="1025"/>
      <c r="D27" s="535"/>
      <c r="E27" s="535"/>
      <c r="F27" s="535"/>
      <c r="G27" s="535"/>
      <c r="H27" s="973"/>
      <c r="I27" s="974"/>
      <c r="J27" s="968"/>
      <c r="K27" s="968"/>
      <c r="L27" s="1156"/>
      <c r="N27" s="970"/>
      <c r="O27" s="970"/>
      <c r="P27" s="968"/>
      <c r="Q27" s="968"/>
    </row>
    <row r="28" spans="2:17">
      <c r="B28" s="1024"/>
      <c r="C28" s="535"/>
      <c r="D28" s="535"/>
      <c r="E28" s="535"/>
      <c r="F28" s="535"/>
      <c r="G28" s="535"/>
      <c r="H28" s="535"/>
      <c r="I28" s="535"/>
      <c r="J28" s="535"/>
      <c r="K28" s="535"/>
      <c r="L28" s="1026"/>
    </row>
    <row r="29" spans="2:17">
      <c r="B29" s="1024"/>
      <c r="C29" s="535"/>
      <c r="D29" s="535"/>
      <c r="E29" s="535"/>
      <c r="F29" s="535"/>
      <c r="G29" s="535"/>
      <c r="H29" s="535"/>
      <c r="I29" s="535"/>
      <c r="J29" s="1090"/>
      <c r="K29" s="535"/>
      <c r="L29" s="1026"/>
      <c r="N29" s="1224">
        <f>'BS (3)'!C40-Shares!I26</f>
        <v>49999999.790000916</v>
      </c>
    </row>
    <row r="30" spans="2:17">
      <c r="B30" s="1024"/>
      <c r="C30" s="535"/>
      <c r="D30" s="535"/>
      <c r="E30" s="535"/>
      <c r="F30" s="535"/>
      <c r="G30" s="535"/>
      <c r="H30" s="535"/>
      <c r="I30" s="535"/>
      <c r="J30" s="535"/>
      <c r="K30" s="535"/>
      <c r="L30" s="1026"/>
    </row>
    <row r="31" spans="2:17">
      <c r="B31" s="1024"/>
      <c r="C31" s="535"/>
      <c r="D31" s="535"/>
      <c r="E31" s="535"/>
      <c r="F31" s="535"/>
      <c r="G31" s="535"/>
      <c r="H31" s="535"/>
      <c r="I31" s="535"/>
      <c r="J31" s="535"/>
      <c r="K31" s="535"/>
      <c r="L31" s="1026"/>
    </row>
    <row r="32" spans="2:17" ht="16.5" thickBot="1">
      <c r="B32" s="1035"/>
      <c r="C32" s="977"/>
      <c r="D32" s="977"/>
      <c r="E32" s="977"/>
      <c r="F32" s="977"/>
      <c r="G32" s="977"/>
      <c r="H32" s="977"/>
      <c r="I32" s="977"/>
      <c r="J32" s="977"/>
      <c r="K32" s="977"/>
      <c r="L32" s="1036"/>
    </row>
    <row r="34" spans="2:8">
      <c r="H34" s="969"/>
    </row>
    <row r="39" spans="2:8">
      <c r="B39" s="1749"/>
    </row>
    <row r="40" spans="2:8" ht="9" customHeight="1">
      <c r="B40" s="1749"/>
    </row>
  </sheetData>
  <mergeCells count="7">
    <mergeCell ref="B1:L1"/>
    <mergeCell ref="P20:Q20"/>
    <mergeCell ref="B39:B40"/>
    <mergeCell ref="H20:I20"/>
    <mergeCell ref="J20:K20"/>
    <mergeCell ref="B3:K3"/>
    <mergeCell ref="N20:O20"/>
  </mergeCells>
  <pageMargins left="0.7" right="0.35" top="0.75" bottom="0.75" header="0.3" footer="0.3"/>
  <pageSetup paperSize="9" scale="80" orientation="portrait" r:id="rId1"/>
  <headerFooter>
    <oddFooter>&amp;C&amp;"Book Antiqua,Regular"&amp;12 8</oddFooter>
  </headerFooter>
</worksheet>
</file>

<file path=xl/worksheets/sheet18.xml><?xml version="1.0" encoding="utf-8"?>
<worksheet xmlns="http://schemas.openxmlformats.org/spreadsheetml/2006/main" xmlns:r="http://schemas.openxmlformats.org/officeDocument/2006/relationships">
  <sheetPr>
    <tabColor rgb="FFFF0000"/>
  </sheetPr>
  <dimension ref="B1:N50"/>
  <sheetViews>
    <sheetView view="pageBreakPreview" topLeftCell="A34" zoomScale="89" zoomScaleSheetLayoutView="89" workbookViewId="0">
      <selection activeCell="C48" sqref="C48:F48"/>
    </sheetView>
  </sheetViews>
  <sheetFormatPr defaultRowHeight="15.75"/>
  <cols>
    <col min="1" max="1" width="9.140625" style="861"/>
    <col min="2" max="2" width="2.28515625" style="861" customWidth="1"/>
    <col min="3" max="3" width="5" style="861" customWidth="1"/>
    <col min="4" max="4" width="96.7109375" style="861" customWidth="1"/>
    <col min="5" max="5" width="16.140625" style="861" customWidth="1"/>
    <col min="6" max="6" width="14" style="861" customWidth="1"/>
    <col min="7" max="7" width="2.28515625" style="861" customWidth="1"/>
    <col min="8" max="8" width="10.28515625" style="861" customWidth="1"/>
    <col min="9" max="9" width="67" style="861" customWidth="1"/>
    <col min="10" max="10" width="19.7109375" style="861" bestFit="1" customWidth="1"/>
    <col min="11" max="11" width="12.7109375" style="861" bestFit="1" customWidth="1"/>
    <col min="12" max="12" width="18.7109375" style="861" bestFit="1" customWidth="1"/>
    <col min="13" max="13" width="9.140625" style="861"/>
    <col min="14" max="14" width="7.5703125" style="861" bestFit="1" customWidth="1"/>
    <col min="15" max="16384" width="9.140625" style="861"/>
  </cols>
  <sheetData>
    <row r="1" spans="2:14" ht="78.75" customHeight="1">
      <c r="B1" s="1737" t="s">
        <v>517</v>
      </c>
      <c r="C1" s="1737"/>
      <c r="D1" s="1737"/>
      <c r="E1" s="1737"/>
      <c r="F1" s="1737"/>
      <c r="G1" s="1737"/>
      <c r="H1" s="803"/>
      <c r="I1" s="803"/>
      <c r="J1" s="803"/>
      <c r="K1" s="803"/>
      <c r="L1" s="803"/>
    </row>
    <row r="2" spans="2:14" ht="16.5">
      <c r="C2" s="1004"/>
      <c r="D2" s="1004"/>
      <c r="E2" s="1004"/>
      <c r="F2" s="1004"/>
      <c r="G2" s="1004"/>
      <c r="H2" s="1005"/>
      <c r="I2" s="1005"/>
      <c r="J2" s="1005"/>
      <c r="K2" s="1005"/>
    </row>
    <row r="3" spans="2:14" ht="18.75">
      <c r="C3" s="1753" t="s">
        <v>24</v>
      </c>
      <c r="D3" s="1753"/>
      <c r="E3" s="1753"/>
      <c r="F3" s="1753"/>
      <c r="G3" s="1004"/>
      <c r="H3" s="1005"/>
      <c r="I3" s="1005"/>
      <c r="J3" s="1005"/>
      <c r="K3" s="1005"/>
    </row>
    <row r="4" spans="2:14" ht="19.5" thickBot="1">
      <c r="C4" s="1020"/>
      <c r="D4" s="1020"/>
      <c r="E4" s="1020"/>
      <c r="F4" s="1020"/>
      <c r="G4" s="1004"/>
      <c r="H4" s="1005"/>
      <c r="I4" s="1005"/>
      <c r="J4" s="1005"/>
      <c r="K4" s="1005"/>
    </row>
    <row r="5" spans="2:14">
      <c r="B5" s="1021"/>
      <c r="C5" s="1022"/>
      <c r="D5" s="1022"/>
      <c r="E5" s="1022"/>
      <c r="F5" s="1022"/>
      <c r="G5" s="1023"/>
    </row>
    <row r="6" spans="2:14" ht="17.25" thickBot="1">
      <c r="B6" s="1024"/>
      <c r="C6" s="1045" t="s">
        <v>491</v>
      </c>
      <c r="D6" s="977"/>
      <c r="E6" s="977"/>
      <c r="F6" s="977"/>
      <c r="G6" s="1026"/>
    </row>
    <row r="7" spans="2:14">
      <c r="B7" s="1024"/>
      <c r="C7" s="989" t="s">
        <v>492</v>
      </c>
      <c r="D7" s="989"/>
      <c r="E7" s="989"/>
      <c r="F7" s="989"/>
      <c r="G7" s="1026"/>
      <c r="H7" s="861">
        <v>100</v>
      </c>
    </row>
    <row r="8" spans="2:14" ht="16.5" thickBot="1">
      <c r="B8" s="1024"/>
      <c r="C8" s="535"/>
      <c r="D8" s="535"/>
      <c r="E8" s="535"/>
      <c r="F8" s="535"/>
      <c r="G8" s="1026"/>
    </row>
    <row r="9" spans="2:14" ht="17.25" thickBot="1">
      <c r="B9" s="1024"/>
      <c r="C9" s="1006" t="s">
        <v>25</v>
      </c>
      <c r="D9" s="1006" t="s">
        <v>26</v>
      </c>
      <c r="E9" s="1007" t="s">
        <v>27</v>
      </c>
      <c r="F9" s="1007" t="s">
        <v>28</v>
      </c>
      <c r="G9" s="1027"/>
      <c r="H9" s="535"/>
      <c r="I9" s="952" t="s">
        <v>599</v>
      </c>
      <c r="J9" s="952" t="s">
        <v>598</v>
      </c>
      <c r="K9" s="952" t="s">
        <v>400</v>
      </c>
      <c r="L9" s="952" t="s">
        <v>597</v>
      </c>
      <c r="M9" s="950"/>
      <c r="N9" s="950" t="s">
        <v>400</v>
      </c>
    </row>
    <row r="10" spans="2:14" s="948" customFormat="1" ht="18" customHeight="1">
      <c r="B10" s="1028"/>
      <c r="C10" s="1037">
        <v>1</v>
      </c>
      <c r="D10" s="1038" t="s">
        <v>29</v>
      </c>
      <c r="E10" s="1039">
        <v>1184896862</v>
      </c>
      <c r="F10" s="985">
        <v>75.000000031648327</v>
      </c>
      <c r="G10" s="1029"/>
      <c r="I10" s="948" t="s">
        <v>29</v>
      </c>
      <c r="J10" s="1009">
        <v>1184896862</v>
      </c>
      <c r="K10" s="1010">
        <f t="shared" ref="K10:K26" si="0">E10-J10</f>
        <v>0</v>
      </c>
      <c r="L10" s="909">
        <v>75.000000031648327</v>
      </c>
      <c r="N10" s="1011">
        <f t="shared" ref="N10:N27" si="1">F10-L10</f>
        <v>0</v>
      </c>
    </row>
    <row r="11" spans="2:14" s="948" customFormat="1" ht="18" customHeight="1">
      <c r="B11" s="1028"/>
      <c r="C11" s="1040">
        <v>2</v>
      </c>
      <c r="D11" s="1041" t="s">
        <v>459</v>
      </c>
      <c r="E11" s="996">
        <v>75477861</v>
      </c>
      <c r="F11" s="988">
        <v>4.7774956276226073</v>
      </c>
      <c r="G11" s="1029"/>
      <c r="I11" s="948" t="s">
        <v>459</v>
      </c>
      <c r="J11" s="1009">
        <v>75477861</v>
      </c>
      <c r="K11" s="1010">
        <f t="shared" si="0"/>
        <v>0</v>
      </c>
      <c r="L11" s="909">
        <v>4.7774956276226073</v>
      </c>
      <c r="N11" s="1011">
        <f t="shared" si="1"/>
        <v>0</v>
      </c>
    </row>
    <row r="12" spans="2:14" s="948" customFormat="1" ht="18" customHeight="1">
      <c r="B12" s="1028"/>
      <c r="C12" s="1040">
        <v>3</v>
      </c>
      <c r="D12" s="1041" t="s">
        <v>30</v>
      </c>
      <c r="E12" s="996">
        <v>59237340</v>
      </c>
      <c r="F12" s="988">
        <v>3.7495250805000131</v>
      </c>
      <c r="G12" s="1029"/>
      <c r="I12" s="948" t="s">
        <v>30</v>
      </c>
      <c r="J12" s="1009">
        <v>59237340</v>
      </c>
      <c r="K12" s="1010">
        <f t="shared" si="0"/>
        <v>0</v>
      </c>
      <c r="L12" s="909">
        <v>3.7495250805000131</v>
      </c>
      <c r="N12" s="1011">
        <f t="shared" si="1"/>
        <v>0</v>
      </c>
    </row>
    <row r="13" spans="2:14" s="948" customFormat="1" ht="18" customHeight="1">
      <c r="B13" s="1028"/>
      <c r="C13" s="1040">
        <v>4</v>
      </c>
      <c r="D13" s="1041" t="s">
        <v>31</v>
      </c>
      <c r="E13" s="996">
        <v>24517300</v>
      </c>
      <c r="F13" s="988">
        <v>1.5518629171421769</v>
      </c>
      <c r="G13" s="1029"/>
      <c r="I13" s="948" t="s">
        <v>31</v>
      </c>
      <c r="J13" s="1009">
        <v>24517300</v>
      </c>
      <c r="K13" s="1010">
        <f t="shared" si="0"/>
        <v>0</v>
      </c>
      <c r="L13" s="909">
        <v>1.5518629171421769</v>
      </c>
      <c r="N13" s="1011">
        <f t="shared" si="1"/>
        <v>0</v>
      </c>
    </row>
    <row r="14" spans="2:14" s="948" customFormat="1" ht="18" customHeight="1">
      <c r="B14" s="1028"/>
      <c r="C14" s="1040">
        <v>5</v>
      </c>
      <c r="D14" s="1041" t="s">
        <v>621</v>
      </c>
      <c r="E14" s="996">
        <v>18000000</v>
      </c>
      <c r="F14" s="988">
        <v>1.1393396707043266</v>
      </c>
      <c r="G14" s="1029"/>
      <c r="I14" s="948" t="s">
        <v>32</v>
      </c>
      <c r="J14" s="1009">
        <v>18000000</v>
      </c>
      <c r="K14" s="1010">
        <f t="shared" si="0"/>
        <v>0</v>
      </c>
      <c r="L14" s="909">
        <v>1.1393396707043266</v>
      </c>
      <c r="N14" s="1011">
        <f t="shared" si="1"/>
        <v>0</v>
      </c>
    </row>
    <row r="15" spans="2:14" s="948" customFormat="1" ht="18" customHeight="1">
      <c r="B15" s="1028"/>
      <c r="C15" s="1040">
        <v>6</v>
      </c>
      <c r="D15" s="1041" t="s">
        <v>622</v>
      </c>
      <c r="E15" s="996">
        <v>13420466</v>
      </c>
      <c r="F15" s="988">
        <v>0.84947051739658941</v>
      </c>
      <c r="G15" s="1029"/>
      <c r="I15" s="948" t="s">
        <v>144</v>
      </c>
      <c r="J15" s="1009">
        <v>13420466</v>
      </c>
      <c r="K15" s="1010">
        <f t="shared" si="0"/>
        <v>0</v>
      </c>
      <c r="L15" s="909">
        <v>0.84947051739658941</v>
      </c>
      <c r="N15" s="1011">
        <f t="shared" si="1"/>
        <v>0</v>
      </c>
    </row>
    <row r="16" spans="2:14" s="948" customFormat="1" ht="18" customHeight="1">
      <c r="B16" s="1028"/>
      <c r="C16" s="1040">
        <v>7</v>
      </c>
      <c r="D16" s="1041" t="s">
        <v>33</v>
      </c>
      <c r="E16" s="996">
        <v>11453600</v>
      </c>
      <c r="F16" s="988">
        <v>0.72497449179883744</v>
      </c>
      <c r="G16" s="1029"/>
      <c r="I16" s="948" t="s">
        <v>33</v>
      </c>
      <c r="J16" s="1009">
        <v>11453600</v>
      </c>
      <c r="K16" s="1010">
        <f t="shared" si="0"/>
        <v>0</v>
      </c>
      <c r="L16" s="909">
        <v>0.72497449179883744</v>
      </c>
      <c r="N16" s="1011">
        <f t="shared" si="1"/>
        <v>0</v>
      </c>
    </row>
    <row r="17" spans="2:14" s="948" customFormat="1" ht="18" customHeight="1">
      <c r="B17" s="1028"/>
      <c r="C17" s="1040">
        <v>8</v>
      </c>
      <c r="D17" s="1042" t="s">
        <v>605</v>
      </c>
      <c r="E17" s="996">
        <v>10797914</v>
      </c>
      <c r="F17" s="988">
        <v>0.68347176561409095</v>
      </c>
      <c r="G17" s="1029"/>
      <c r="I17" s="948" t="s">
        <v>460</v>
      </c>
      <c r="J17" s="1009">
        <v>10797914</v>
      </c>
      <c r="K17" s="1010">
        <f t="shared" si="0"/>
        <v>0</v>
      </c>
      <c r="L17" s="909">
        <v>0.68347176561409095</v>
      </c>
      <c r="N17" s="1011">
        <f t="shared" si="1"/>
        <v>0</v>
      </c>
    </row>
    <row r="18" spans="2:14" s="948" customFormat="1">
      <c r="B18" s="1028"/>
      <c r="C18" s="1040">
        <v>9</v>
      </c>
      <c r="D18" s="1041" t="s">
        <v>34</v>
      </c>
      <c r="E18" s="996">
        <v>10000000</v>
      </c>
      <c r="F18" s="988">
        <v>0.63296648372462594</v>
      </c>
      <c r="G18" s="1029"/>
      <c r="I18" s="948" t="s">
        <v>34</v>
      </c>
      <c r="J18" s="1009">
        <v>10000000</v>
      </c>
      <c r="K18" s="1010">
        <f t="shared" si="0"/>
        <v>0</v>
      </c>
      <c r="L18" s="909">
        <v>0.63296648372462594</v>
      </c>
      <c r="N18" s="1011">
        <f t="shared" si="1"/>
        <v>0</v>
      </c>
    </row>
    <row r="19" spans="2:14" s="948" customFormat="1" ht="18" customHeight="1">
      <c r="B19" s="1028"/>
      <c r="C19" s="1040">
        <v>10</v>
      </c>
      <c r="D19" s="1041" t="s">
        <v>35</v>
      </c>
      <c r="E19" s="996">
        <v>9864800</v>
      </c>
      <c r="F19" s="988">
        <v>0.62440877686466889</v>
      </c>
      <c r="G19" s="1029"/>
      <c r="I19" s="948" t="s">
        <v>35</v>
      </c>
      <c r="J19" s="1009">
        <v>9864800</v>
      </c>
      <c r="K19" s="1010">
        <f t="shared" si="0"/>
        <v>0</v>
      </c>
      <c r="L19" s="909">
        <v>0.62440877686466889</v>
      </c>
      <c r="N19" s="1011">
        <f t="shared" si="1"/>
        <v>0</v>
      </c>
    </row>
    <row r="20" spans="2:14" s="948" customFormat="1" ht="18" customHeight="1">
      <c r="B20" s="1028"/>
      <c r="C20" s="1040">
        <v>11</v>
      </c>
      <c r="D20" s="1041" t="s">
        <v>36</v>
      </c>
      <c r="E20" s="996">
        <v>9295200</v>
      </c>
      <c r="F20" s="988">
        <v>0.58835500595171419</v>
      </c>
      <c r="G20" s="1029"/>
      <c r="I20" s="948" t="s">
        <v>36</v>
      </c>
      <c r="J20" s="1009">
        <v>9295200</v>
      </c>
      <c r="K20" s="1010">
        <f t="shared" si="0"/>
        <v>0</v>
      </c>
      <c r="L20" s="909">
        <v>0.58835500595171419</v>
      </c>
      <c r="N20" s="1011">
        <f t="shared" si="1"/>
        <v>0</v>
      </c>
    </row>
    <row r="21" spans="2:14" s="948" customFormat="1" ht="18" customHeight="1">
      <c r="B21" s="1028"/>
      <c r="C21" s="1040">
        <v>12</v>
      </c>
      <c r="D21" s="1041" t="s">
        <v>359</v>
      </c>
      <c r="E21" s="996">
        <v>7113607</v>
      </c>
      <c r="F21" s="988">
        <v>0.44894628999740999</v>
      </c>
      <c r="G21" s="1029"/>
      <c r="I21" s="948" t="s">
        <v>359</v>
      </c>
      <c r="J21" s="1009">
        <v>7092734</v>
      </c>
      <c r="K21" s="1010">
        <f t="shared" si="0"/>
        <v>20873</v>
      </c>
      <c r="L21" s="909">
        <v>0.44894628999740999</v>
      </c>
      <c r="N21" s="1011">
        <f t="shared" si="1"/>
        <v>0</v>
      </c>
    </row>
    <row r="22" spans="2:14" s="948" customFormat="1" ht="18" customHeight="1">
      <c r="B22" s="1028"/>
      <c r="C22" s="1040">
        <v>13</v>
      </c>
      <c r="D22" s="1041" t="s">
        <v>37</v>
      </c>
      <c r="E22" s="996">
        <v>6954891</v>
      </c>
      <c r="F22" s="988">
        <v>0.44022129009580468</v>
      </c>
      <c r="G22" s="1029"/>
      <c r="I22" s="948" t="s">
        <v>37</v>
      </c>
      <c r="J22" s="1009">
        <v>6954891</v>
      </c>
      <c r="K22" s="1010">
        <f t="shared" si="0"/>
        <v>0</v>
      </c>
      <c r="L22" s="909">
        <v>0.44022129009580468</v>
      </c>
      <c r="N22" s="1011">
        <f t="shared" si="1"/>
        <v>0</v>
      </c>
    </row>
    <row r="23" spans="2:14" s="948" customFormat="1" ht="18" customHeight="1">
      <c r="B23" s="1028"/>
      <c r="C23" s="1040">
        <v>14</v>
      </c>
      <c r="D23" s="1041" t="s">
        <v>620</v>
      </c>
      <c r="E23" s="996">
        <v>5000000</v>
      </c>
      <c r="F23" s="988">
        <v>0.31648324186231297</v>
      </c>
      <c r="G23" s="1029"/>
      <c r="I23" s="948" t="s">
        <v>38</v>
      </c>
      <c r="J23" s="1009">
        <v>5000000</v>
      </c>
      <c r="K23" s="1010">
        <f t="shared" si="0"/>
        <v>0</v>
      </c>
      <c r="L23" s="909">
        <v>0.31648324186231297</v>
      </c>
      <c r="N23" s="1011">
        <f t="shared" si="1"/>
        <v>0</v>
      </c>
    </row>
    <row r="24" spans="2:14" s="948" customFormat="1" ht="18" customHeight="1">
      <c r="B24" s="1028"/>
      <c r="C24" s="1040">
        <v>15</v>
      </c>
      <c r="D24" s="1041" t="s">
        <v>623</v>
      </c>
      <c r="E24" s="996">
        <v>4921800</v>
      </c>
      <c r="F24" s="988">
        <v>0.31153344395958638</v>
      </c>
      <c r="G24" s="1029"/>
      <c r="I24" s="948" t="s">
        <v>39</v>
      </c>
      <c r="J24" s="1009">
        <v>4921800</v>
      </c>
      <c r="K24" s="1010">
        <f t="shared" si="0"/>
        <v>0</v>
      </c>
      <c r="L24" s="909">
        <v>0.31153344395958638</v>
      </c>
      <c r="N24" s="1011">
        <f t="shared" si="1"/>
        <v>0</v>
      </c>
    </row>
    <row r="25" spans="2:14" s="948" customFormat="1" ht="18" customHeight="1">
      <c r="B25" s="1028"/>
      <c r="C25" s="1040">
        <v>16</v>
      </c>
      <c r="D25" s="1041" t="s">
        <v>40</v>
      </c>
      <c r="E25" s="996">
        <v>3640800</v>
      </c>
      <c r="F25" s="988">
        <v>0.23045043739446178</v>
      </c>
      <c r="G25" s="1029"/>
      <c r="I25" s="948" t="s">
        <v>40</v>
      </c>
      <c r="J25" s="1009">
        <v>3640800</v>
      </c>
      <c r="K25" s="1010">
        <f t="shared" si="0"/>
        <v>0</v>
      </c>
      <c r="L25" s="909">
        <v>0.23045043739446178</v>
      </c>
      <c r="N25" s="1011">
        <f t="shared" si="1"/>
        <v>0</v>
      </c>
    </row>
    <row r="26" spans="2:14" s="948" customFormat="1" ht="18" customHeight="1">
      <c r="B26" s="1028"/>
      <c r="C26" s="1040">
        <v>17</v>
      </c>
      <c r="D26" s="1041" t="s">
        <v>41</v>
      </c>
      <c r="E26" s="996">
        <v>3388800</v>
      </c>
      <c r="F26" s="988">
        <v>0.20817001716735498</v>
      </c>
      <c r="G26" s="1029"/>
      <c r="I26" s="948" t="s">
        <v>41</v>
      </c>
      <c r="J26" s="1009">
        <v>3288800</v>
      </c>
      <c r="K26" s="1010">
        <f t="shared" si="0"/>
        <v>100000</v>
      </c>
      <c r="L26" s="909">
        <v>0.20817001716735498</v>
      </c>
      <c r="N26" s="1011">
        <f t="shared" si="1"/>
        <v>0</v>
      </c>
    </row>
    <row r="27" spans="2:14" s="948" customFormat="1" ht="18" customHeight="1">
      <c r="B27" s="1028"/>
      <c r="C27" s="1040">
        <v>18</v>
      </c>
      <c r="D27" s="1041" t="s">
        <v>145</v>
      </c>
      <c r="E27" s="996">
        <v>3007996</v>
      </c>
      <c r="F27" s="988">
        <v>0.19039606511777396</v>
      </c>
      <c r="G27" s="1029"/>
      <c r="I27" s="948" t="s">
        <v>145</v>
      </c>
      <c r="J27" s="1009">
        <v>3007996</v>
      </c>
      <c r="K27" s="1010">
        <f>E27-J27</f>
        <v>0</v>
      </c>
      <c r="L27" s="909">
        <v>0.19039606511777396</v>
      </c>
      <c r="N27" s="1011">
        <f t="shared" si="1"/>
        <v>0</v>
      </c>
    </row>
    <row r="28" spans="2:14" s="948" customFormat="1" ht="18" customHeight="1">
      <c r="B28" s="1028"/>
      <c r="C28" s="1040">
        <v>19</v>
      </c>
      <c r="D28" s="1041" t="s">
        <v>360</v>
      </c>
      <c r="E28" s="996">
        <v>2250000</v>
      </c>
      <c r="F28" s="988">
        <v>0.14241745883804083</v>
      </c>
      <c r="G28" s="1029"/>
      <c r="I28" s="948" t="s">
        <v>360</v>
      </c>
      <c r="J28" s="887">
        <v>2250000</v>
      </c>
      <c r="K28" s="1010">
        <f t="shared" ref="K28:K29" si="2">E28-J28</f>
        <v>0</v>
      </c>
      <c r="L28" s="909">
        <v>0.14241745883804083</v>
      </c>
      <c r="M28" s="1011"/>
      <c r="N28" s="1011">
        <f>-L28</f>
        <v>-0.14241745883804083</v>
      </c>
    </row>
    <row r="29" spans="2:14" s="948" customFormat="1" ht="18" customHeight="1">
      <c r="B29" s="1028"/>
      <c r="C29" s="1040">
        <v>20</v>
      </c>
      <c r="D29" s="1041" t="s">
        <v>414</v>
      </c>
      <c r="E29" s="996">
        <v>2202395</v>
      </c>
      <c r="F29" s="988">
        <v>0.13940422189226973</v>
      </c>
      <c r="G29" s="1029"/>
      <c r="I29" s="948" t="s">
        <v>414</v>
      </c>
      <c r="J29" s="1009">
        <v>2202395</v>
      </c>
      <c r="K29" s="1010">
        <f t="shared" si="2"/>
        <v>0</v>
      </c>
      <c r="L29" s="909">
        <v>0.13940422189226973</v>
      </c>
      <c r="N29" s="1011">
        <f>F28-L29</f>
        <v>3.0132369457711028E-3</v>
      </c>
    </row>
    <row r="30" spans="2:14">
      <c r="B30" s="1024"/>
      <c r="C30" s="1012"/>
      <c r="D30" s="1012"/>
      <c r="E30" s="888"/>
      <c r="F30" s="1013"/>
      <c r="G30" s="1030"/>
    </row>
    <row r="31" spans="2:14" ht="17.25" thickBot="1">
      <c r="B31" s="1024"/>
      <c r="C31" s="1047" t="s">
        <v>624</v>
      </c>
      <c r="D31" s="1048"/>
      <c r="E31" s="1048"/>
      <c r="F31" s="1048"/>
      <c r="G31" s="1031"/>
    </row>
    <row r="32" spans="2:14" s="948" customFormat="1">
      <c r="B32" s="1028"/>
      <c r="C32" s="1046" t="s">
        <v>493</v>
      </c>
      <c r="D32" s="1046"/>
      <c r="E32" s="1046"/>
      <c r="F32" s="1046"/>
      <c r="G32" s="1031"/>
      <c r="H32" s="1015"/>
    </row>
    <row r="33" spans="2:8">
      <c r="B33" s="1024"/>
      <c r="C33" s="535"/>
      <c r="D33" s="535"/>
      <c r="E33" s="535"/>
      <c r="F33" s="535"/>
      <c r="G33" s="1026"/>
      <c r="H33" s="1016"/>
    </row>
    <row r="34" spans="2:8" ht="17.25" thickBot="1">
      <c r="B34" s="1024"/>
      <c r="C34" s="1047" t="s">
        <v>494</v>
      </c>
      <c r="D34" s="1048"/>
      <c r="E34" s="1048"/>
      <c r="F34" s="1048"/>
      <c r="G34" s="1031"/>
    </row>
    <row r="35" spans="2:8">
      <c r="B35" s="1024"/>
      <c r="C35" s="1038" t="s">
        <v>625</v>
      </c>
      <c r="D35" s="1038"/>
      <c r="E35" s="1038"/>
      <c r="F35" s="1038"/>
      <c r="G35" s="1031"/>
    </row>
    <row r="36" spans="2:8" ht="16.5" thickBot="1">
      <c r="B36" s="1024"/>
      <c r="C36" s="1012"/>
      <c r="D36" s="1012"/>
      <c r="E36" s="1012"/>
      <c r="F36" s="1012"/>
      <c r="G36" s="1031"/>
    </row>
    <row r="37" spans="2:8" ht="17.25" thickBot="1">
      <c r="B37" s="1028"/>
      <c r="C37" s="1017" t="s">
        <v>42</v>
      </c>
      <c r="D37" s="1017"/>
      <c r="E37" s="1006" t="s">
        <v>43</v>
      </c>
      <c r="F37" s="1006" t="s">
        <v>27</v>
      </c>
      <c r="G37" s="1032"/>
    </row>
    <row r="38" spans="2:8" s="1018" customFormat="1" ht="19.5" customHeight="1">
      <c r="B38" s="1028"/>
      <c r="C38" s="1757" t="s">
        <v>44</v>
      </c>
      <c r="D38" s="1757"/>
      <c r="E38" s="1038" t="s">
        <v>45</v>
      </c>
      <c r="F38" s="1043">
        <v>0</v>
      </c>
      <c r="G38" s="1033"/>
    </row>
    <row r="39" spans="2:8" s="948" customFormat="1" ht="16.5" customHeight="1">
      <c r="B39" s="1028"/>
      <c r="C39" s="1756" t="s">
        <v>47</v>
      </c>
      <c r="D39" s="1756"/>
      <c r="E39" s="1041" t="s">
        <v>46</v>
      </c>
      <c r="F39" s="1044">
        <v>1000000</v>
      </c>
      <c r="G39" s="1034"/>
    </row>
    <row r="40" spans="2:8" s="948" customFormat="1" ht="16.5" customHeight="1">
      <c r="B40" s="1028"/>
      <c r="C40" s="1756" t="s">
        <v>361</v>
      </c>
      <c r="D40" s="1756"/>
      <c r="E40" s="1041" t="s">
        <v>46</v>
      </c>
      <c r="F40" s="1341">
        <v>0</v>
      </c>
      <c r="G40" s="1034"/>
    </row>
    <row r="41" spans="2:8" s="948" customFormat="1" ht="16.5" customHeight="1">
      <c r="B41" s="1028"/>
      <c r="C41" s="1756" t="s">
        <v>362</v>
      </c>
      <c r="D41" s="1756"/>
      <c r="E41" s="1041" t="s">
        <v>46</v>
      </c>
      <c r="F41" s="1341">
        <v>0</v>
      </c>
      <c r="G41" s="1034"/>
    </row>
    <row r="42" spans="2:8" s="948" customFormat="1" ht="16.5" customHeight="1">
      <c r="B42" s="1028"/>
      <c r="C42" s="1756" t="s">
        <v>48</v>
      </c>
      <c r="D42" s="1756"/>
      <c r="E42" s="1041" t="s">
        <v>49</v>
      </c>
      <c r="F42" s="1044">
        <v>299158</v>
      </c>
      <c r="G42" s="1034"/>
      <c r="H42" s="1019">
        <v>232116</v>
      </c>
    </row>
    <row r="43" spans="2:8" ht="16.5" thickBot="1">
      <c r="B43" s="1035"/>
      <c r="C43" s="977"/>
      <c r="D43" s="977"/>
      <c r="E43" s="977"/>
      <c r="F43" s="977"/>
      <c r="G43" s="1036"/>
      <c r="H43" s="948">
        <v>218433</v>
      </c>
    </row>
    <row r="46" spans="2:8">
      <c r="C46" s="1756" t="s">
        <v>595</v>
      </c>
      <c r="D46" s="1756"/>
    </row>
    <row r="47" spans="2:8">
      <c r="C47" s="1756" t="s">
        <v>596</v>
      </c>
      <c r="D47" s="1756"/>
    </row>
    <row r="48" spans="2:8" ht="34.5" customHeight="1">
      <c r="C48" s="1755"/>
      <c r="D48" s="1755"/>
      <c r="E48" s="1755"/>
      <c r="F48" s="1755"/>
    </row>
    <row r="49" spans="3:6">
      <c r="C49" s="1149"/>
      <c r="D49" s="1149"/>
      <c r="E49" s="1149"/>
      <c r="F49" s="1149"/>
    </row>
    <row r="50" spans="3:6" ht="31.5" customHeight="1">
      <c r="C50" s="1755"/>
      <c r="D50" s="1755"/>
      <c r="E50" s="1755"/>
      <c r="F50" s="1755"/>
    </row>
  </sheetData>
  <mergeCells count="11">
    <mergeCell ref="C48:F48"/>
    <mergeCell ref="C50:F50"/>
    <mergeCell ref="B1:G1"/>
    <mergeCell ref="C42:D42"/>
    <mergeCell ref="C3:F3"/>
    <mergeCell ref="C38:D38"/>
    <mergeCell ref="C39:D39"/>
    <mergeCell ref="C40:D40"/>
    <mergeCell ref="C41:D41"/>
    <mergeCell ref="C46:D46"/>
    <mergeCell ref="C47:D47"/>
  </mergeCells>
  <pageMargins left="0.56999999999999995" right="0.23" top="0.7" bottom="0.42" header="0.3" footer="0.3"/>
  <pageSetup paperSize="9" scale="71" orientation="portrait" r:id="rId1"/>
  <headerFooter>
    <oddFooter>&amp;C&amp;"Book Antiqua,Regular"&amp;12 9</oddFooter>
  </headerFooter>
</worksheet>
</file>

<file path=xl/worksheets/sheet19.xml><?xml version="1.0" encoding="utf-8"?>
<worksheet xmlns="http://schemas.openxmlformats.org/spreadsheetml/2006/main" xmlns:r="http://schemas.openxmlformats.org/officeDocument/2006/relationships">
  <sheetPr>
    <tabColor rgb="FFFF0000"/>
  </sheetPr>
  <dimension ref="A1:G45"/>
  <sheetViews>
    <sheetView view="pageBreakPreview" topLeftCell="A22" zoomScale="90" zoomScaleSheetLayoutView="90" workbookViewId="0">
      <selection activeCell="C38" sqref="C38:F38"/>
    </sheetView>
  </sheetViews>
  <sheetFormatPr defaultRowHeight="15.75"/>
  <cols>
    <col min="1" max="1" width="2" style="861" customWidth="1"/>
    <col min="2" max="2" width="3.7109375" style="861" customWidth="1"/>
    <col min="3" max="3" width="19.85546875" style="861" customWidth="1"/>
    <col min="4" max="4" width="42.28515625" style="861" customWidth="1"/>
    <col min="5" max="5" width="28.5703125" style="861" customWidth="1"/>
    <col min="6" max="6" width="20.85546875" style="861" customWidth="1"/>
    <col min="7" max="7" width="1.7109375" style="861" customWidth="1"/>
    <col min="8" max="16384" width="9.140625" style="861"/>
  </cols>
  <sheetData>
    <row r="1" spans="1:7" ht="78" customHeight="1">
      <c r="A1" s="1737" t="s">
        <v>517</v>
      </c>
      <c r="B1" s="1737"/>
      <c r="C1" s="1737"/>
      <c r="D1" s="1737"/>
      <c r="E1" s="1737"/>
      <c r="F1" s="1737"/>
      <c r="G1" s="1737"/>
    </row>
    <row r="3" spans="1:7" ht="18.75">
      <c r="B3" s="1753" t="s">
        <v>0</v>
      </c>
      <c r="C3" s="1753"/>
      <c r="D3" s="1753"/>
      <c r="E3" s="1753"/>
      <c r="F3" s="1753"/>
      <c r="G3" s="1005"/>
    </row>
    <row r="4" spans="1:7" ht="19.5" thickBot="1">
      <c r="B4" s="1020"/>
      <c r="C4" s="1020"/>
      <c r="D4" s="1020"/>
      <c r="E4" s="1020"/>
      <c r="F4" s="1020"/>
      <c r="G4" s="1005"/>
    </row>
    <row r="5" spans="1:7" ht="16.5">
      <c r="A5" s="1021"/>
      <c r="B5" s="1022"/>
      <c r="C5" s="1112"/>
      <c r="D5" s="1022"/>
      <c r="E5" s="1022"/>
      <c r="F5" s="1022"/>
      <c r="G5" s="1023"/>
    </row>
    <row r="6" spans="1:7" ht="33.75" customHeight="1">
      <c r="A6" s="1024"/>
      <c r="B6" s="1143" t="s">
        <v>1</v>
      </c>
      <c r="C6" s="1755" t="s">
        <v>521</v>
      </c>
      <c r="D6" s="1755"/>
      <c r="E6" s="1755"/>
      <c r="F6" s="1755"/>
      <c r="G6" s="1144"/>
    </row>
    <row r="7" spans="1:7">
      <c r="A7" s="1024"/>
      <c r="B7" s="535"/>
      <c r="C7" s="1145"/>
      <c r="D7" s="535"/>
      <c r="E7" s="535"/>
      <c r="F7" s="535"/>
      <c r="G7" s="1026"/>
    </row>
    <row r="8" spans="1:7" ht="35.25" customHeight="1">
      <c r="A8" s="1024"/>
      <c r="B8" s="1143" t="s">
        <v>2</v>
      </c>
      <c r="C8" s="1755" t="s">
        <v>590</v>
      </c>
      <c r="D8" s="1755"/>
      <c r="E8" s="1755"/>
      <c r="F8" s="1755"/>
      <c r="G8" s="1146"/>
    </row>
    <row r="9" spans="1:7">
      <c r="A9" s="1024"/>
      <c r="B9" s="535"/>
      <c r="C9" s="1145"/>
      <c r="D9" s="1145"/>
      <c r="E9" s="1145"/>
      <c r="F9" s="1145"/>
      <c r="G9" s="1026"/>
    </row>
    <row r="10" spans="1:7" ht="51" customHeight="1">
      <c r="A10" s="1024"/>
      <c r="B10" s="1143" t="s">
        <v>3</v>
      </c>
      <c r="C10" s="1755" t="s">
        <v>16</v>
      </c>
      <c r="D10" s="1755"/>
      <c r="E10" s="1755"/>
      <c r="F10" s="1755"/>
      <c r="G10" s="1146"/>
    </row>
    <row r="11" spans="1:7">
      <c r="A11" s="1024"/>
      <c r="B11" s="1147"/>
      <c r="C11" s="1145"/>
      <c r="D11" s="1145"/>
      <c r="E11" s="1145"/>
      <c r="F11" s="1145"/>
      <c r="G11" s="1026"/>
    </row>
    <row r="12" spans="1:7" ht="65.25" customHeight="1">
      <c r="A12" s="1024"/>
      <c r="B12" s="1143" t="s">
        <v>4</v>
      </c>
      <c r="C12" s="1760" t="s">
        <v>363</v>
      </c>
      <c r="D12" s="1760"/>
      <c r="E12" s="1760"/>
      <c r="F12" s="1760"/>
      <c r="G12" s="1146"/>
    </row>
    <row r="13" spans="1:7">
      <c r="A13" s="1024"/>
      <c r="B13" s="1147"/>
      <c r="C13" s="1145"/>
      <c r="D13" s="1145"/>
      <c r="E13" s="1145"/>
      <c r="F13" s="1145"/>
      <c r="G13" s="1026"/>
    </row>
    <row r="14" spans="1:7" ht="33" customHeight="1">
      <c r="A14" s="1024"/>
      <c r="B14" s="1143" t="s">
        <v>5</v>
      </c>
      <c r="C14" s="1755" t="s">
        <v>7</v>
      </c>
      <c r="D14" s="1755"/>
      <c r="E14" s="1755"/>
      <c r="F14" s="1755"/>
      <c r="G14" s="1146"/>
    </row>
    <row r="15" spans="1:7" ht="14.25" customHeight="1">
      <c r="A15" s="1024"/>
      <c r="B15" s="1147"/>
      <c r="C15" s="1132"/>
      <c r="D15" s="1132"/>
      <c r="E15" s="1132"/>
      <c r="F15" s="1132"/>
      <c r="G15" s="1026"/>
    </row>
    <row r="16" spans="1:7" ht="33" customHeight="1">
      <c r="A16" s="1024"/>
      <c r="B16" s="1143" t="s">
        <v>6</v>
      </c>
      <c r="C16" s="1759" t="s">
        <v>522</v>
      </c>
      <c r="D16" s="1759"/>
      <c r="E16" s="1759"/>
      <c r="F16" s="1759"/>
      <c r="G16" s="1146"/>
    </row>
    <row r="17" spans="1:7" ht="16.5" customHeight="1">
      <c r="A17" s="1024"/>
      <c r="B17" s="535"/>
      <c r="C17" s="1148"/>
      <c r="D17" s="1148"/>
      <c r="E17" s="1148"/>
      <c r="F17" s="1148"/>
      <c r="G17" s="1026"/>
    </row>
    <row r="18" spans="1:7" ht="33.75" customHeight="1">
      <c r="A18" s="1024"/>
      <c r="B18" s="1143" t="s">
        <v>8</v>
      </c>
      <c r="C18" s="1760" t="s">
        <v>523</v>
      </c>
      <c r="D18" s="1760"/>
      <c r="E18" s="1760"/>
      <c r="F18" s="1760"/>
      <c r="G18" s="1146"/>
    </row>
    <row r="19" spans="1:7" ht="15.75" customHeight="1">
      <c r="A19" s="1024"/>
      <c r="B19" s="1143"/>
      <c r="C19" s="1149"/>
      <c r="D19" s="1149"/>
      <c r="E19" s="1149"/>
      <c r="F19" s="1149"/>
      <c r="G19" s="1026"/>
    </row>
    <row r="20" spans="1:7" ht="33.75" customHeight="1">
      <c r="A20" s="1024"/>
      <c r="B20" s="1143" t="s">
        <v>9</v>
      </c>
      <c r="C20" s="1755" t="s">
        <v>591</v>
      </c>
      <c r="D20" s="1755"/>
      <c r="E20" s="1755"/>
      <c r="F20" s="1755"/>
      <c r="G20" s="1026"/>
    </row>
    <row r="21" spans="1:7" ht="15.75" customHeight="1">
      <c r="A21" s="1024"/>
      <c r="B21" s="535"/>
      <c r="C21" s="1149"/>
      <c r="D21" s="1149"/>
      <c r="E21" s="1149"/>
      <c r="F21" s="1149"/>
      <c r="G21" s="1026"/>
    </row>
    <row r="22" spans="1:7" ht="34.5" customHeight="1">
      <c r="A22" s="1024"/>
      <c r="B22" s="1143" t="s">
        <v>10</v>
      </c>
      <c r="C22" s="1755" t="s">
        <v>592</v>
      </c>
      <c r="D22" s="1755"/>
      <c r="E22" s="1755"/>
      <c r="F22" s="1755"/>
      <c r="G22" s="1146"/>
    </row>
    <row r="23" spans="1:7">
      <c r="A23" s="1024"/>
      <c r="B23" s="535"/>
      <c r="C23" s="1250"/>
      <c r="D23" s="1250"/>
      <c r="E23" s="1250"/>
      <c r="F23" s="1250"/>
      <c r="G23" s="1026"/>
    </row>
    <row r="24" spans="1:7" ht="48" customHeight="1">
      <c r="A24" s="1024"/>
      <c r="B24" s="1143" t="s">
        <v>11</v>
      </c>
      <c r="C24" s="1762" t="s">
        <v>638</v>
      </c>
      <c r="D24" s="1762"/>
      <c r="E24" s="1762"/>
      <c r="F24" s="1762"/>
      <c r="G24" s="1026"/>
    </row>
    <row r="25" spans="1:7">
      <c r="A25" s="1024"/>
      <c r="B25" s="1143"/>
      <c r="C25" s="1359"/>
      <c r="D25" s="1359"/>
      <c r="E25" s="1359"/>
      <c r="F25" s="1359"/>
      <c r="G25" s="1026"/>
    </row>
    <row r="26" spans="1:7" ht="33" customHeight="1">
      <c r="A26" s="1024"/>
      <c r="B26" s="1143"/>
      <c r="C26" s="1762" t="s">
        <v>639</v>
      </c>
      <c r="D26" s="1762"/>
      <c r="E26" s="1762"/>
      <c r="F26" s="1762"/>
      <c r="G26" s="1026"/>
    </row>
    <row r="27" spans="1:7">
      <c r="A27" s="1024"/>
      <c r="B27" s="535"/>
      <c r="C27" s="535"/>
      <c r="D27" s="535"/>
      <c r="E27" s="535"/>
      <c r="F27" s="535"/>
      <c r="G27" s="1026"/>
    </row>
    <row r="28" spans="1:7" ht="32.25" customHeight="1">
      <c r="A28" s="1024"/>
      <c r="B28" s="1143" t="s">
        <v>12</v>
      </c>
      <c r="C28" s="1762" t="s">
        <v>593</v>
      </c>
      <c r="D28" s="1762"/>
      <c r="E28" s="1762"/>
      <c r="F28" s="1762"/>
      <c r="G28" s="1026"/>
    </row>
    <row r="29" spans="1:7">
      <c r="A29" s="1024"/>
      <c r="B29" s="535"/>
      <c r="C29" s="1250"/>
      <c r="D29" s="1250"/>
      <c r="E29" s="1250"/>
      <c r="F29" s="1250"/>
      <c r="G29" s="1026"/>
    </row>
    <row r="30" spans="1:7" ht="51" customHeight="1">
      <c r="A30" s="1024"/>
      <c r="B30" s="1143" t="s">
        <v>640</v>
      </c>
      <c r="C30" s="1763" t="s">
        <v>641</v>
      </c>
      <c r="D30" s="1763"/>
      <c r="E30" s="1763"/>
      <c r="F30" s="1763"/>
      <c r="G30" s="1026"/>
    </row>
    <row r="31" spans="1:7" ht="16.5" thickBot="1">
      <c r="A31" s="1035"/>
      <c r="B31" s="1150"/>
      <c r="C31" s="1151"/>
      <c r="D31" s="1151"/>
      <c r="E31" s="1151"/>
      <c r="F31" s="1151"/>
      <c r="G31" s="1036"/>
    </row>
    <row r="32" spans="1:7">
      <c r="B32" s="1049"/>
      <c r="C32" s="1761"/>
      <c r="D32" s="1761"/>
      <c r="E32" s="1761"/>
      <c r="F32" s="1761"/>
    </row>
    <row r="34" spans="2:6" ht="40.5" customHeight="1">
      <c r="B34" s="1049"/>
      <c r="C34" s="1761"/>
      <c r="D34" s="1761"/>
      <c r="E34" s="1761"/>
      <c r="F34" s="1761"/>
    </row>
    <row r="36" spans="2:6" ht="38.25" customHeight="1">
      <c r="B36" s="1049"/>
      <c r="C36" s="1761"/>
      <c r="D36" s="1761"/>
      <c r="E36" s="1761"/>
      <c r="F36" s="1761"/>
    </row>
    <row r="38" spans="2:6" ht="32.25" customHeight="1">
      <c r="B38" s="1049"/>
      <c r="C38" s="1758"/>
      <c r="D38" s="1758"/>
      <c r="E38" s="1758"/>
      <c r="F38" s="1758"/>
    </row>
    <row r="44" spans="2:6">
      <c r="D44" s="1050"/>
      <c r="E44" s="1050"/>
      <c r="F44" s="1050"/>
    </row>
    <row r="45" spans="2:6">
      <c r="C45" s="1050"/>
      <c r="D45" s="1050"/>
      <c r="E45" s="1050"/>
      <c r="F45" s="1050"/>
    </row>
  </sheetData>
  <mergeCells count="19">
    <mergeCell ref="A1:G1"/>
    <mergeCell ref="C14:F14"/>
    <mergeCell ref="B3:F3"/>
    <mergeCell ref="C6:F6"/>
    <mergeCell ref="C8:F8"/>
    <mergeCell ref="C10:F10"/>
    <mergeCell ref="C12:F12"/>
    <mergeCell ref="C38:F38"/>
    <mergeCell ref="C16:F16"/>
    <mergeCell ref="C18:F18"/>
    <mergeCell ref="C20:F20"/>
    <mergeCell ref="C22:F22"/>
    <mergeCell ref="C36:F36"/>
    <mergeCell ref="C34:F34"/>
    <mergeCell ref="C32:F32"/>
    <mergeCell ref="C28:F28"/>
    <mergeCell ref="C30:F30"/>
    <mergeCell ref="C24:F24"/>
    <mergeCell ref="C26:F26"/>
  </mergeCells>
  <pageMargins left="0.7" right="0.17" top="0.7" bottom="0.18" header="0.3" footer="0.3"/>
  <pageSetup paperSize="9" scale="80" orientation="portrait" r:id="rId1"/>
  <headerFooter>
    <oddFooter>&amp;C&amp;"Book Antiqua,Regular"&amp;12 10</oddFooter>
  </headerFooter>
</worksheet>
</file>

<file path=xl/worksheets/sheet2.xml><?xml version="1.0" encoding="utf-8"?>
<worksheet xmlns="http://schemas.openxmlformats.org/spreadsheetml/2006/main" xmlns:r="http://schemas.openxmlformats.org/officeDocument/2006/relationships">
  <sheetPr>
    <tabColor rgb="FFFF0000"/>
  </sheetPr>
  <dimension ref="A1:J51"/>
  <sheetViews>
    <sheetView view="pageBreakPreview" topLeftCell="A19" zoomScaleSheetLayoutView="100" workbookViewId="0">
      <selection activeCell="A20" sqref="A20:J20"/>
    </sheetView>
  </sheetViews>
  <sheetFormatPr defaultRowHeight="12.75"/>
  <sheetData>
    <row r="1" spans="1:10">
      <c r="A1" s="7"/>
      <c r="B1" s="7"/>
      <c r="C1" s="7"/>
      <c r="D1" s="7"/>
      <c r="E1" s="7"/>
      <c r="F1" s="7"/>
      <c r="G1" s="7"/>
      <c r="H1" s="7"/>
      <c r="I1" s="7"/>
      <c r="J1" s="7"/>
    </row>
    <row r="2" spans="1:10">
      <c r="A2" s="7"/>
      <c r="B2" s="7"/>
      <c r="C2" s="7"/>
      <c r="D2" s="7"/>
      <c r="E2" s="7"/>
      <c r="F2" s="7"/>
      <c r="G2" s="7"/>
      <c r="H2" s="7"/>
      <c r="I2" s="7"/>
      <c r="J2" s="7"/>
    </row>
    <row r="3" spans="1:10">
      <c r="A3" s="7"/>
      <c r="B3" s="7"/>
      <c r="C3" s="7"/>
      <c r="D3" s="7"/>
      <c r="E3" s="7"/>
      <c r="F3" s="7"/>
      <c r="G3" s="7"/>
      <c r="H3" s="7"/>
      <c r="I3" s="7"/>
      <c r="J3" s="7"/>
    </row>
    <row r="4" spans="1:10">
      <c r="A4" s="7"/>
      <c r="B4" s="7"/>
      <c r="C4" s="7"/>
      <c r="D4" s="7"/>
      <c r="E4" s="7"/>
      <c r="F4" s="7"/>
      <c r="G4" s="7"/>
      <c r="H4" s="7"/>
      <c r="I4" s="7"/>
      <c r="J4" s="7"/>
    </row>
    <row r="5" spans="1:10">
      <c r="A5" s="7"/>
      <c r="B5" s="7"/>
      <c r="C5" s="7"/>
      <c r="D5" s="7"/>
      <c r="E5" s="7"/>
      <c r="F5" s="7"/>
      <c r="G5" s="7"/>
      <c r="H5" s="7"/>
      <c r="I5" s="7"/>
      <c r="J5" s="7"/>
    </row>
    <row r="6" spans="1:10">
      <c r="A6" s="7"/>
      <c r="B6" s="7"/>
      <c r="C6" s="7"/>
      <c r="D6" s="7"/>
      <c r="E6" s="7"/>
      <c r="F6" s="7"/>
      <c r="G6" s="7"/>
      <c r="H6" s="7"/>
      <c r="I6" s="7"/>
      <c r="J6" s="7"/>
    </row>
    <row r="7" spans="1:10">
      <c r="A7" s="7"/>
      <c r="B7" s="7"/>
      <c r="C7" s="7"/>
      <c r="D7" s="7"/>
      <c r="E7" s="7"/>
      <c r="F7" s="7"/>
      <c r="G7" s="7"/>
      <c r="H7" s="7"/>
      <c r="I7" s="7"/>
      <c r="J7" s="7"/>
    </row>
    <row r="8" spans="1:10">
      <c r="A8" s="7"/>
      <c r="B8" s="7"/>
      <c r="C8" s="7"/>
      <c r="D8" s="7"/>
      <c r="E8" s="7"/>
      <c r="F8" s="7"/>
      <c r="G8" s="7"/>
      <c r="H8" s="7"/>
      <c r="I8" s="7"/>
      <c r="J8" s="7"/>
    </row>
    <row r="9" spans="1:10">
      <c r="A9" s="7"/>
      <c r="B9" s="7"/>
      <c r="C9" s="7"/>
      <c r="D9" s="7"/>
      <c r="E9" s="7"/>
      <c r="F9" s="7"/>
      <c r="G9" s="7"/>
      <c r="H9" s="7"/>
      <c r="I9" s="7"/>
      <c r="J9" s="7"/>
    </row>
    <row r="10" spans="1:10">
      <c r="A10" s="7"/>
      <c r="B10" s="7"/>
      <c r="C10" s="7"/>
      <c r="D10" s="7"/>
      <c r="E10" s="7"/>
      <c r="F10" s="7"/>
      <c r="G10" s="7"/>
      <c r="H10" s="7"/>
      <c r="I10" s="7"/>
      <c r="J10" s="7"/>
    </row>
    <row r="11" spans="1:10">
      <c r="A11" s="7"/>
      <c r="B11" s="7"/>
      <c r="C11" s="7"/>
      <c r="D11" s="7"/>
      <c r="E11" s="7"/>
      <c r="F11" s="7"/>
      <c r="G11" s="7"/>
      <c r="H11" s="7"/>
      <c r="I11" s="7"/>
      <c r="J11" s="7"/>
    </row>
    <row r="12" spans="1:10">
      <c r="A12" s="7"/>
      <c r="B12" s="7"/>
      <c r="C12" s="7"/>
      <c r="D12" s="7"/>
      <c r="E12" s="7"/>
      <c r="F12" s="7"/>
      <c r="G12" s="7"/>
      <c r="H12" s="7"/>
      <c r="I12" s="7"/>
      <c r="J12" s="7"/>
    </row>
    <row r="13" spans="1:10">
      <c r="A13" s="7"/>
      <c r="B13" s="7"/>
      <c r="C13" s="7"/>
      <c r="D13" s="7"/>
      <c r="E13" s="7"/>
      <c r="F13" s="7"/>
      <c r="G13" s="7"/>
      <c r="H13" s="7"/>
      <c r="I13" s="7"/>
      <c r="J13" s="7"/>
    </row>
    <row r="14" spans="1:10">
      <c r="A14" s="7"/>
      <c r="B14" s="7"/>
      <c r="C14" s="7"/>
      <c r="D14" s="7"/>
      <c r="E14" s="7"/>
      <c r="F14" s="7"/>
      <c r="G14" s="7"/>
      <c r="H14" s="7"/>
      <c r="I14" s="7"/>
      <c r="J14" s="7"/>
    </row>
    <row r="15" spans="1:10">
      <c r="A15" s="7"/>
      <c r="B15" s="7"/>
      <c r="C15" s="7"/>
      <c r="D15" s="7"/>
      <c r="E15" s="7"/>
      <c r="F15" s="7"/>
      <c r="G15" s="7"/>
      <c r="H15" s="7"/>
      <c r="I15" s="7"/>
      <c r="J15" s="7"/>
    </row>
    <row r="16" spans="1:10">
      <c r="A16" s="7"/>
      <c r="B16" s="7"/>
      <c r="C16" s="7"/>
      <c r="D16" s="7"/>
      <c r="E16" s="7"/>
      <c r="F16" s="7"/>
      <c r="G16" s="7"/>
      <c r="H16" s="7"/>
      <c r="I16" s="7"/>
      <c r="J16" s="7"/>
    </row>
    <row r="17" spans="1:10">
      <c r="A17" s="7"/>
      <c r="B17" s="7"/>
      <c r="C17" s="7"/>
      <c r="D17" s="7"/>
      <c r="E17" s="7"/>
      <c r="F17" s="7"/>
      <c r="G17" s="7"/>
      <c r="H17" s="7"/>
      <c r="I17" s="7"/>
      <c r="J17" s="7"/>
    </row>
    <row r="18" spans="1:10" ht="23.25">
      <c r="A18" s="1699" t="s">
        <v>75</v>
      </c>
      <c r="B18" s="1699"/>
      <c r="C18" s="1699"/>
      <c r="D18" s="1699"/>
      <c r="E18" s="1699"/>
      <c r="F18" s="1699"/>
      <c r="G18" s="1699"/>
      <c r="H18" s="1699"/>
      <c r="I18" s="1699"/>
      <c r="J18" s="1699"/>
    </row>
    <row r="19" spans="1:10" ht="23.25">
      <c r="A19" s="1699" t="s">
        <v>474</v>
      </c>
      <c r="B19" s="1699"/>
      <c r="C19" s="1699"/>
      <c r="D19" s="1699"/>
      <c r="E19" s="1699"/>
      <c r="F19" s="1699"/>
      <c r="G19" s="1699"/>
      <c r="H19" s="1699"/>
      <c r="I19" s="1699"/>
      <c r="J19" s="1699"/>
    </row>
    <row r="20" spans="1:10" ht="26.25">
      <c r="A20" s="1700"/>
      <c r="B20" s="1700"/>
      <c r="C20" s="1700"/>
      <c r="D20" s="1700"/>
      <c r="E20" s="1700"/>
      <c r="F20" s="1700"/>
      <c r="G20" s="1700"/>
      <c r="H20" s="1700"/>
      <c r="I20" s="1700"/>
      <c r="J20" s="1700"/>
    </row>
    <row r="21" spans="1:10">
      <c r="A21" s="7"/>
      <c r="B21" s="8"/>
      <c r="C21" s="7"/>
      <c r="D21" s="7"/>
      <c r="E21" s="7"/>
      <c r="F21" s="7"/>
      <c r="G21" s="7"/>
      <c r="H21" s="7"/>
      <c r="I21" s="7"/>
      <c r="J21" s="7"/>
    </row>
    <row r="22" spans="1:10">
      <c r="A22" s="7"/>
      <c r="B22" s="7"/>
      <c r="C22" s="7"/>
      <c r="D22" s="7"/>
      <c r="E22" s="7"/>
      <c r="F22" s="7"/>
      <c r="G22" s="7"/>
      <c r="H22" s="7"/>
      <c r="I22" s="7"/>
      <c r="J22" s="7"/>
    </row>
    <row r="23" spans="1:10">
      <c r="A23" s="7"/>
      <c r="B23" s="7"/>
      <c r="C23" s="7"/>
      <c r="D23" s="7"/>
      <c r="E23" s="7"/>
      <c r="F23" s="7"/>
      <c r="G23" s="7"/>
      <c r="H23" s="7"/>
      <c r="I23" s="7"/>
      <c r="J23" s="7"/>
    </row>
    <row r="24" spans="1:10">
      <c r="A24" s="7"/>
      <c r="B24" s="7"/>
      <c r="C24" s="7"/>
      <c r="D24" s="7"/>
      <c r="E24" s="7"/>
      <c r="F24" s="7"/>
      <c r="G24" s="7"/>
      <c r="H24" s="7"/>
      <c r="I24" s="7"/>
      <c r="J24" s="7"/>
    </row>
    <row r="25" spans="1:10">
      <c r="A25" s="7"/>
      <c r="B25" s="7"/>
      <c r="C25" s="7"/>
      <c r="D25" s="7"/>
      <c r="E25" s="7"/>
      <c r="F25" s="7"/>
      <c r="G25" s="7"/>
      <c r="H25" s="7"/>
      <c r="I25" s="7"/>
      <c r="J25" s="7"/>
    </row>
    <row r="26" spans="1:10">
      <c r="A26" s="7"/>
      <c r="B26" s="7"/>
      <c r="C26" s="7"/>
      <c r="D26" s="7"/>
      <c r="E26" s="7"/>
      <c r="F26" s="7"/>
      <c r="G26" s="7"/>
      <c r="H26" s="7"/>
      <c r="I26" s="7"/>
      <c r="J26" s="7"/>
    </row>
    <row r="27" spans="1:10">
      <c r="A27" s="7"/>
      <c r="B27" s="7"/>
      <c r="C27" s="7"/>
      <c r="D27" s="7"/>
      <c r="E27" s="7"/>
      <c r="F27" s="7"/>
      <c r="G27" s="7"/>
      <c r="H27" s="7"/>
      <c r="I27" s="7"/>
      <c r="J27" s="7"/>
    </row>
    <row r="28" spans="1:10">
      <c r="A28" s="7"/>
      <c r="B28" s="7"/>
      <c r="C28" s="7"/>
      <c r="D28" s="7"/>
      <c r="E28" s="7"/>
      <c r="F28" s="7"/>
      <c r="G28" s="7"/>
      <c r="H28" s="7"/>
      <c r="I28" s="7"/>
      <c r="J28" s="7"/>
    </row>
    <row r="29" spans="1:10">
      <c r="A29" s="7"/>
      <c r="B29" s="7"/>
      <c r="C29" s="7"/>
      <c r="D29" s="7"/>
      <c r="E29" s="7"/>
      <c r="F29" s="7"/>
      <c r="G29" s="7"/>
      <c r="H29" s="7"/>
      <c r="I29" s="7"/>
      <c r="J29" s="7"/>
    </row>
    <row r="30" spans="1:10">
      <c r="A30" s="7"/>
      <c r="B30" s="7"/>
      <c r="C30" s="7"/>
      <c r="D30" s="7"/>
      <c r="E30" s="7"/>
      <c r="F30" s="7"/>
      <c r="G30" s="7"/>
      <c r="H30" s="7"/>
      <c r="I30" s="7"/>
      <c r="J30" s="7"/>
    </row>
    <row r="31" spans="1:10">
      <c r="A31" s="7"/>
      <c r="B31" s="7"/>
      <c r="C31" s="7"/>
      <c r="D31" s="7"/>
      <c r="E31" s="7"/>
      <c r="F31" s="7"/>
      <c r="G31" s="7"/>
      <c r="H31" s="7"/>
      <c r="I31" s="7"/>
      <c r="J31" s="7"/>
    </row>
    <row r="32" spans="1:10">
      <c r="A32" s="7"/>
      <c r="B32" s="7"/>
      <c r="C32" s="7"/>
      <c r="D32" s="7"/>
      <c r="E32" s="7"/>
      <c r="F32" s="7"/>
      <c r="G32" s="7"/>
      <c r="H32" s="7"/>
      <c r="I32" s="7"/>
      <c r="J32" s="7"/>
    </row>
    <row r="33" spans="1:10">
      <c r="A33" s="7"/>
      <c r="B33" s="7"/>
      <c r="C33" s="7"/>
      <c r="D33" s="7"/>
      <c r="E33" s="7"/>
      <c r="F33" s="7"/>
      <c r="G33" s="7"/>
      <c r="H33" s="7"/>
      <c r="I33" s="7"/>
      <c r="J33" s="7"/>
    </row>
    <row r="34" spans="1:10">
      <c r="A34" s="7"/>
      <c r="B34" s="7"/>
      <c r="C34" s="7"/>
      <c r="D34" s="7"/>
      <c r="E34" s="7"/>
      <c r="F34" s="7"/>
      <c r="G34" s="7"/>
      <c r="H34" s="7"/>
      <c r="I34" s="7"/>
      <c r="J34" s="7"/>
    </row>
    <row r="35" spans="1:10">
      <c r="A35" s="7"/>
      <c r="B35" s="7"/>
      <c r="C35" s="7"/>
      <c r="D35" s="7"/>
      <c r="E35" s="7"/>
      <c r="F35" s="7"/>
      <c r="G35" s="7"/>
      <c r="H35" s="7"/>
      <c r="I35" s="7"/>
      <c r="J35" s="7"/>
    </row>
    <row r="36" spans="1:10">
      <c r="A36" s="7"/>
      <c r="B36" s="7"/>
      <c r="C36" s="7"/>
      <c r="D36" s="7"/>
      <c r="E36" s="7"/>
      <c r="F36" s="7"/>
      <c r="G36" s="7"/>
      <c r="H36" s="7"/>
      <c r="I36" s="7"/>
      <c r="J36" s="7"/>
    </row>
    <row r="37" spans="1:10">
      <c r="A37" s="7"/>
      <c r="B37" s="7"/>
      <c r="C37" s="7"/>
      <c r="D37" s="7"/>
      <c r="E37" s="7"/>
      <c r="F37" s="7"/>
      <c r="G37" s="7"/>
      <c r="H37" s="7"/>
      <c r="I37" s="7"/>
      <c r="J37" s="7"/>
    </row>
    <row r="38" spans="1:10">
      <c r="A38" s="7"/>
      <c r="B38" s="7"/>
      <c r="C38" s="7"/>
      <c r="D38" s="7"/>
      <c r="E38" s="7"/>
      <c r="F38" s="7"/>
      <c r="G38" s="7"/>
      <c r="H38" s="7"/>
      <c r="I38" s="7"/>
      <c r="J38" s="7"/>
    </row>
    <row r="39" spans="1:10">
      <c r="A39" s="7"/>
      <c r="B39" s="7"/>
      <c r="C39" s="7"/>
      <c r="D39" s="7"/>
      <c r="E39" s="7"/>
      <c r="F39" s="7"/>
      <c r="G39" s="7"/>
      <c r="H39" s="7"/>
      <c r="I39" s="7"/>
      <c r="J39" s="7"/>
    </row>
    <row r="40" spans="1:10">
      <c r="A40" s="7"/>
      <c r="B40" s="7"/>
      <c r="C40" s="7"/>
      <c r="D40" s="7"/>
      <c r="E40" s="7"/>
      <c r="F40" s="7"/>
      <c r="G40" s="7"/>
      <c r="H40" s="7"/>
      <c r="I40" s="7"/>
      <c r="J40" s="7"/>
    </row>
    <row r="41" spans="1:10">
      <c r="A41" s="7"/>
      <c r="B41" s="7"/>
      <c r="C41" s="7"/>
      <c r="D41" s="7"/>
      <c r="E41" s="7"/>
      <c r="F41" s="7"/>
      <c r="G41" s="7"/>
      <c r="H41" s="7"/>
      <c r="I41" s="7"/>
      <c r="J41" s="7"/>
    </row>
    <row r="42" spans="1:10">
      <c r="A42" s="7"/>
      <c r="B42" s="7"/>
      <c r="C42" s="7"/>
      <c r="D42" s="7"/>
      <c r="E42" s="7"/>
      <c r="F42" s="7"/>
      <c r="G42" s="7"/>
      <c r="H42" s="7"/>
      <c r="I42" s="7"/>
      <c r="J42" s="7"/>
    </row>
    <row r="43" spans="1:10">
      <c r="A43" s="7"/>
      <c r="B43" s="7"/>
      <c r="C43" s="7"/>
      <c r="D43" s="7"/>
      <c r="E43" s="7"/>
      <c r="F43" s="7"/>
      <c r="G43" s="7"/>
      <c r="H43" s="7"/>
      <c r="I43" s="7"/>
      <c r="J43" s="7"/>
    </row>
    <row r="44" spans="1:10">
      <c r="A44" s="7"/>
      <c r="B44" s="7"/>
      <c r="C44" s="7"/>
      <c r="D44" s="7"/>
      <c r="E44" s="7"/>
      <c r="F44" s="7"/>
      <c r="G44" s="7"/>
      <c r="H44" s="7"/>
      <c r="I44" s="7"/>
      <c r="J44" s="7"/>
    </row>
    <row r="45" spans="1:10">
      <c r="A45" s="7"/>
      <c r="B45" s="7"/>
      <c r="C45" s="7"/>
      <c r="D45" s="7"/>
      <c r="E45" s="7"/>
      <c r="F45" s="7"/>
      <c r="G45" s="7"/>
      <c r="H45" s="7"/>
      <c r="I45" s="7"/>
      <c r="J45" s="7"/>
    </row>
    <row r="46" spans="1:10">
      <c r="A46" s="7"/>
      <c r="B46" s="7"/>
      <c r="C46" s="7"/>
      <c r="D46" s="7"/>
      <c r="E46" s="7"/>
      <c r="F46" s="7"/>
      <c r="G46" s="7"/>
      <c r="H46" s="7"/>
      <c r="I46" s="7"/>
      <c r="J46" s="7"/>
    </row>
    <row r="47" spans="1:10">
      <c r="A47" s="7"/>
      <c r="B47" s="7"/>
      <c r="C47" s="7"/>
      <c r="D47" s="7"/>
      <c r="E47" s="7"/>
      <c r="F47" s="7"/>
      <c r="G47" s="7"/>
      <c r="H47" s="7"/>
      <c r="I47" s="7"/>
      <c r="J47" s="7"/>
    </row>
    <row r="48" spans="1:10">
      <c r="A48" s="7"/>
      <c r="B48" s="7"/>
      <c r="C48" s="7"/>
      <c r="D48" s="7"/>
      <c r="E48" s="7"/>
      <c r="F48" s="7"/>
      <c r="G48" s="7"/>
      <c r="H48" s="7"/>
      <c r="I48" s="7"/>
      <c r="J48" s="7"/>
    </row>
    <row r="49" spans="1:10" ht="30">
      <c r="A49" s="1701" t="s">
        <v>76</v>
      </c>
      <c r="B49" s="1701"/>
      <c r="C49" s="1701"/>
      <c r="D49" s="1701"/>
      <c r="E49" s="1701"/>
      <c r="F49" s="1701"/>
      <c r="G49" s="1701"/>
      <c r="H49" s="1701"/>
      <c r="I49" s="1701"/>
      <c r="J49" s="1701"/>
    </row>
    <row r="50" spans="1:10">
      <c r="A50" s="7"/>
      <c r="B50" s="7"/>
      <c r="C50" s="7"/>
      <c r="D50" s="7"/>
      <c r="E50" s="7"/>
      <c r="F50" s="7"/>
      <c r="G50" s="7"/>
      <c r="H50" s="7"/>
      <c r="I50" s="7"/>
      <c r="J50" s="7"/>
    </row>
    <row r="51" spans="1:10">
      <c r="A51" s="7"/>
      <c r="B51" s="7"/>
      <c r="C51" s="7"/>
      <c r="D51" s="7"/>
      <c r="E51" s="7"/>
      <c r="F51" s="7"/>
      <c r="G51" s="7"/>
      <c r="H51" s="7"/>
      <c r="I51" s="7"/>
      <c r="J51" s="7"/>
    </row>
  </sheetData>
  <mergeCells count="4">
    <mergeCell ref="A18:J18"/>
    <mergeCell ref="A19:J19"/>
    <mergeCell ref="A20:J20"/>
    <mergeCell ref="A49:J49"/>
  </mergeCells>
  <pageMargins left="0.7" right="0.7" top="0.6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sheetPr>
    <tabColor rgb="FFFF0000"/>
  </sheetPr>
  <dimension ref="A1:P314"/>
  <sheetViews>
    <sheetView view="pageBreakPreview" zoomScaleSheetLayoutView="100" workbookViewId="0">
      <selection activeCell="B11" sqref="B11"/>
    </sheetView>
  </sheetViews>
  <sheetFormatPr defaultRowHeight="15.75"/>
  <cols>
    <col min="1" max="1" width="2.7109375" style="861" customWidth="1"/>
    <col min="2" max="2" width="49" style="861" customWidth="1"/>
    <col min="3" max="5" width="14.7109375" style="861" customWidth="1"/>
    <col min="6" max="6" width="1.85546875" style="861" customWidth="1"/>
    <col min="7" max="7" width="9.140625" style="861"/>
    <col min="8" max="8" width="11.28515625" style="861" bestFit="1" customWidth="1"/>
    <col min="9" max="16384" width="9.140625" style="861"/>
  </cols>
  <sheetData>
    <row r="1" spans="1:16" ht="78" customHeight="1">
      <c r="A1" s="1737" t="s">
        <v>517</v>
      </c>
      <c r="B1" s="1737"/>
      <c r="C1" s="1737"/>
      <c r="D1" s="1737"/>
      <c r="E1" s="1737"/>
      <c r="F1" s="1737"/>
      <c r="G1" s="803"/>
    </row>
    <row r="3" spans="1:16" ht="16.5">
      <c r="B3" s="1769" t="s">
        <v>56</v>
      </c>
      <c r="C3" s="1769"/>
      <c r="D3" s="1769"/>
      <c r="E3" s="1769"/>
      <c r="F3" s="1004"/>
      <c r="M3" s="535"/>
      <c r="N3" s="535"/>
      <c r="O3" s="535"/>
      <c r="P3" s="535"/>
    </row>
    <row r="4" spans="1:16" ht="17.25" thickBot="1">
      <c r="B4" s="1127"/>
      <c r="C4" s="1127"/>
      <c r="D4" s="1127"/>
      <c r="E4" s="1127"/>
      <c r="F4" s="1004"/>
      <c r="M4" s="535"/>
      <c r="N4" s="535"/>
      <c r="O4" s="535"/>
      <c r="P4" s="535"/>
    </row>
    <row r="5" spans="1:16" ht="16.5">
      <c r="A5" s="1021"/>
      <c r="B5" s="1022"/>
      <c r="C5" s="1022"/>
      <c r="D5" s="1022"/>
      <c r="E5" s="1022"/>
      <c r="F5" s="1023"/>
      <c r="M5" s="1025"/>
      <c r="N5" s="1051"/>
      <c r="O5" s="535"/>
      <c r="P5" s="535"/>
    </row>
    <row r="6" spans="1:16" ht="17.25" thickBot="1">
      <c r="A6" s="1024"/>
      <c r="B6" s="1045" t="s">
        <v>495</v>
      </c>
      <c r="C6" s="1208"/>
      <c r="D6" s="1208"/>
      <c r="E6" s="1208"/>
      <c r="F6" s="1128"/>
      <c r="M6" s="1051"/>
      <c r="N6" s="1051"/>
      <c r="O6" s="535"/>
      <c r="P6" s="535"/>
    </row>
    <row r="7" spans="1:16" ht="6.75" customHeight="1">
      <c r="A7" s="1024"/>
      <c r="B7" s="1025"/>
      <c r="C7" s="1052"/>
      <c r="D7" s="1052"/>
      <c r="E7" s="1052"/>
      <c r="F7" s="1128"/>
      <c r="M7" s="1051"/>
      <c r="N7" s="1051"/>
      <c r="O7" s="535"/>
      <c r="P7" s="535"/>
    </row>
    <row r="8" spans="1:16" ht="16.5">
      <c r="A8" s="1024"/>
      <c r="B8" s="1765" t="s">
        <v>216</v>
      </c>
      <c r="C8" s="1095" t="s">
        <v>57</v>
      </c>
      <c r="D8" s="1095" t="s">
        <v>58</v>
      </c>
      <c r="E8" s="1096" t="s">
        <v>59</v>
      </c>
      <c r="F8" s="1129"/>
      <c r="M8" s="1051"/>
      <c r="N8" s="1051"/>
      <c r="O8" s="535"/>
      <c r="P8" s="535"/>
    </row>
    <row r="9" spans="1:16" ht="16.5">
      <c r="A9" s="1024"/>
      <c r="B9" s="1766"/>
      <c r="C9" s="1097" t="s">
        <v>19</v>
      </c>
      <c r="D9" s="1097" t="s">
        <v>19</v>
      </c>
      <c r="E9" s="1098" t="s">
        <v>19</v>
      </c>
      <c r="F9" s="1129"/>
      <c r="M9" s="1051"/>
      <c r="N9" s="1051"/>
      <c r="O9" s="535"/>
      <c r="P9" s="535"/>
    </row>
    <row r="10" spans="1:16">
      <c r="A10" s="1024"/>
      <c r="B10" s="1057" t="s">
        <v>60</v>
      </c>
      <c r="C10" s="1058">
        <v>114.98</v>
      </c>
      <c r="D10" s="1058">
        <v>113</v>
      </c>
      <c r="E10" s="1059">
        <v>114.95</v>
      </c>
      <c r="F10" s="1130"/>
      <c r="M10" s="535"/>
      <c r="N10" s="535"/>
      <c r="O10" s="535"/>
      <c r="P10" s="535"/>
    </row>
    <row r="11" spans="1:16">
      <c r="A11" s="1024"/>
      <c r="B11" s="1057" t="s">
        <v>61</v>
      </c>
      <c r="C11" s="1714" t="s">
        <v>606</v>
      </c>
      <c r="D11" s="1715"/>
      <c r="E11" s="1716"/>
      <c r="F11" s="1131"/>
    </row>
    <row r="12" spans="1:16">
      <c r="A12" s="1024"/>
      <c r="B12" s="1057" t="s">
        <v>62</v>
      </c>
      <c r="C12" s="1714" t="s">
        <v>607</v>
      </c>
      <c r="D12" s="1715"/>
      <c r="E12" s="1716"/>
      <c r="F12" s="1131"/>
    </row>
    <row r="13" spans="1:16" ht="16.5">
      <c r="A13" s="1024"/>
      <c r="B13" s="1132"/>
      <c r="C13" s="1060"/>
      <c r="D13" s="1060"/>
      <c r="E13" s="1061"/>
      <c r="F13" s="1119"/>
    </row>
    <row r="14" spans="1:16" ht="16.5" hidden="1">
      <c r="A14" s="1024"/>
      <c r="B14" s="1025" t="s">
        <v>392</v>
      </c>
      <c r="C14" s="1060"/>
      <c r="D14" s="1060"/>
      <c r="E14" s="1061"/>
      <c r="F14" s="1119"/>
    </row>
    <row r="15" spans="1:16" ht="16.5" hidden="1">
      <c r="A15" s="1024"/>
      <c r="B15" s="1765" t="s">
        <v>216</v>
      </c>
      <c r="C15" s="1053" t="s">
        <v>57</v>
      </c>
      <c r="D15" s="1053" t="s">
        <v>58</v>
      </c>
      <c r="E15" s="1054" t="s">
        <v>59</v>
      </c>
      <c r="F15" s="1129"/>
    </row>
    <row r="16" spans="1:16" ht="16.5" hidden="1">
      <c r="A16" s="1024"/>
      <c r="B16" s="1766"/>
      <c r="C16" s="1055" t="s">
        <v>19</v>
      </c>
      <c r="D16" s="1055" t="s">
        <v>19</v>
      </c>
      <c r="E16" s="1056" t="s">
        <v>19</v>
      </c>
      <c r="F16" s="1129"/>
    </row>
    <row r="17" spans="1:8" hidden="1">
      <c r="A17" s="1024"/>
      <c r="B17" s="1057" t="s">
        <v>60</v>
      </c>
      <c r="C17" s="1724" t="s">
        <v>215</v>
      </c>
      <c r="D17" s="1725"/>
      <c r="E17" s="1726"/>
      <c r="F17" s="1133"/>
    </row>
    <row r="18" spans="1:8" hidden="1">
      <c r="A18" s="1024"/>
      <c r="B18" s="1057" t="s">
        <v>61</v>
      </c>
      <c r="C18" s="1058">
        <v>107</v>
      </c>
      <c r="D18" s="1058">
        <v>107</v>
      </c>
      <c r="E18" s="1062">
        <v>107</v>
      </c>
      <c r="F18" s="1134"/>
    </row>
    <row r="19" spans="1:8" hidden="1">
      <c r="A19" s="1024"/>
      <c r="B19" s="1057" t="s">
        <v>62</v>
      </c>
      <c r="C19" s="1727" t="s">
        <v>215</v>
      </c>
      <c r="D19" s="1728"/>
      <c r="E19" s="1729"/>
      <c r="F19" s="1133"/>
    </row>
    <row r="20" spans="1:8" ht="16.5" hidden="1">
      <c r="A20" s="1024"/>
      <c r="B20" s="1132"/>
      <c r="C20" s="1060"/>
      <c r="D20" s="1060"/>
      <c r="E20" s="1061"/>
      <c r="F20" s="1119"/>
    </row>
    <row r="21" spans="1:8" ht="17.25" thickBot="1">
      <c r="A21" s="1024"/>
      <c r="B21" s="1209" t="s">
        <v>63</v>
      </c>
      <c r="C21" s="1197"/>
      <c r="D21" s="1197"/>
      <c r="E21" s="1198"/>
      <c r="F21" s="1119"/>
    </row>
    <row r="22" spans="1:8" ht="11.25" customHeight="1">
      <c r="A22" s="1024"/>
      <c r="B22" s="1135"/>
      <c r="C22" s="1060"/>
      <c r="D22" s="1060"/>
      <c r="E22" s="1061"/>
      <c r="F22" s="1119"/>
    </row>
    <row r="23" spans="1:8" ht="48.75" customHeight="1">
      <c r="A23" s="1024"/>
      <c r="B23" s="1064" t="s">
        <v>216</v>
      </c>
      <c r="C23" s="1065"/>
      <c r="D23" s="1066" t="s">
        <v>321</v>
      </c>
      <c r="E23" s="1066" t="s">
        <v>396</v>
      </c>
      <c r="F23" s="1136"/>
    </row>
    <row r="24" spans="1:8">
      <c r="A24" s="1024"/>
      <c r="B24" s="1067" t="s">
        <v>64</v>
      </c>
      <c r="C24" s="1065"/>
      <c r="D24" s="1068">
        <v>16.5</v>
      </c>
      <c r="E24" s="1068">
        <v>17.18</v>
      </c>
      <c r="F24" s="1133"/>
      <c r="H24" s="861">
        <f>((1+(0.165/2))^2)-1</f>
        <v>0.17180624999999994</v>
      </c>
    </row>
    <row r="25" spans="1:8">
      <c r="A25" s="1024"/>
      <c r="B25" s="1067" t="s">
        <v>65</v>
      </c>
      <c r="C25" s="1065"/>
      <c r="D25" s="1068">
        <v>16.75</v>
      </c>
      <c r="E25" s="1068">
        <v>17.45</v>
      </c>
      <c r="F25" s="1133"/>
    </row>
    <row r="26" spans="1:8">
      <c r="A26" s="1024"/>
      <c r="B26" s="1067" t="s">
        <v>62</v>
      </c>
      <c r="C26" s="1065"/>
      <c r="D26" s="1068">
        <v>17</v>
      </c>
      <c r="E26" s="1068">
        <v>17</v>
      </c>
      <c r="F26" s="1133"/>
    </row>
    <row r="27" spans="1:8" ht="16.5">
      <c r="A27" s="1024"/>
      <c r="B27" s="1132"/>
      <c r="C27" s="1060"/>
      <c r="D27" s="1060"/>
      <c r="E27" s="1061"/>
      <c r="F27" s="1119"/>
    </row>
    <row r="28" spans="1:8" ht="16.5">
      <c r="A28" s="1024"/>
      <c r="B28" s="1132"/>
      <c r="C28" s="1060"/>
      <c r="D28" s="1060"/>
      <c r="E28" s="1061"/>
      <c r="F28" s="1119"/>
    </row>
    <row r="29" spans="1:8" ht="17.25" thickBot="1">
      <c r="A29" s="1024"/>
      <c r="B29" s="1045" t="s">
        <v>399</v>
      </c>
      <c r="C29" s="1197"/>
      <c r="D29" s="1197"/>
      <c r="E29" s="1198"/>
      <c r="F29" s="1119"/>
    </row>
    <row r="30" spans="1:8" ht="16.5">
      <c r="A30" s="1024"/>
      <c r="B30" s="1038" t="s">
        <v>66</v>
      </c>
      <c r="C30" s="1199">
        <v>6.6900000000000001E-2</v>
      </c>
      <c r="D30" s="1200"/>
      <c r="E30" s="1201"/>
      <c r="F30" s="1120"/>
      <c r="H30" s="861">
        <v>7.85E-2</v>
      </c>
    </row>
    <row r="31" spans="1:8" ht="16.5">
      <c r="A31" s="1024"/>
      <c r="B31" s="1041" t="s">
        <v>67</v>
      </c>
      <c r="C31" s="1202">
        <v>6.9900000000000004E-2</v>
      </c>
      <c r="D31" s="1203"/>
      <c r="E31" s="1111"/>
      <c r="F31" s="1120"/>
      <c r="H31" s="861">
        <v>8.2900000000000001E-2</v>
      </c>
    </row>
    <row r="32" spans="1:8" ht="16.5">
      <c r="A32" s="1024"/>
      <c r="B32" s="1041" t="s">
        <v>461</v>
      </c>
      <c r="C32" s="1202">
        <v>0.14099999999999999</v>
      </c>
      <c r="D32" s="1203"/>
      <c r="E32" s="1204"/>
      <c r="F32" s="1137"/>
      <c r="H32" s="861">
        <v>0.14099999999999999</v>
      </c>
    </row>
    <row r="33" spans="1:8" ht="16.5">
      <c r="A33" s="1024"/>
      <c r="B33" s="986" t="s">
        <v>68</v>
      </c>
      <c r="C33" s="1205">
        <v>8.9300000000000004E-2</v>
      </c>
      <c r="D33" s="1206"/>
      <c r="E33" s="1207"/>
      <c r="F33" s="1117"/>
      <c r="H33" s="861">
        <v>0.10639999999999999</v>
      </c>
    </row>
    <row r="34" spans="1:8" ht="16.5">
      <c r="A34" s="1024"/>
      <c r="B34" s="986" t="s">
        <v>320</v>
      </c>
      <c r="C34" s="1205"/>
      <c r="D34" s="1206"/>
      <c r="E34" s="1207"/>
      <c r="F34" s="1117"/>
    </row>
    <row r="35" spans="1:8" ht="16.5">
      <c r="A35" s="1024"/>
      <c r="B35" s="1025"/>
      <c r="C35" s="1008"/>
      <c r="D35" s="1008"/>
      <c r="E35" s="952"/>
      <c r="F35" s="1117"/>
    </row>
    <row r="36" spans="1:8" ht="17.25" thickBot="1">
      <c r="A36" s="1024"/>
      <c r="B36" s="1045" t="s">
        <v>397</v>
      </c>
      <c r="C36" s="1210"/>
      <c r="D36" s="1210"/>
      <c r="E36" s="1211"/>
      <c r="F36" s="1118"/>
    </row>
    <row r="37" spans="1:8" ht="10.5" customHeight="1">
      <c r="A37" s="1024"/>
      <c r="B37" s="1025"/>
      <c r="C37" s="905"/>
      <c r="D37" s="905"/>
      <c r="E37" s="1089"/>
      <c r="F37" s="1118"/>
    </row>
    <row r="38" spans="1:8" ht="49.5">
      <c r="A38" s="1024"/>
      <c r="B38" s="1069" t="s">
        <v>216</v>
      </c>
      <c r="C38" s="1065"/>
      <c r="D38" s="1070" t="s">
        <v>398</v>
      </c>
      <c r="E38" s="1070" t="s">
        <v>401</v>
      </c>
      <c r="F38" s="1138"/>
    </row>
    <row r="39" spans="1:8">
      <c r="A39" s="1024"/>
      <c r="B39" s="1067" t="s">
        <v>60</v>
      </c>
      <c r="C39" s="1065"/>
      <c r="D39" s="1337">
        <f>'Ratio cal'!H383</f>
        <v>0.14354066985645933</v>
      </c>
      <c r="E39" s="1335">
        <f>'Ratio cal'!H405</f>
        <v>7.2119222430920102E-2</v>
      </c>
      <c r="F39" s="1336"/>
    </row>
    <row r="40" spans="1:8">
      <c r="A40" s="1024"/>
      <c r="B40" s="1067" t="s">
        <v>61</v>
      </c>
      <c r="C40" s="1065"/>
      <c r="D40" s="1334">
        <v>0.14142181695373185</v>
      </c>
      <c r="E40" s="1335">
        <v>0.11115180369895625</v>
      </c>
      <c r="F40" s="1336"/>
    </row>
    <row r="41" spans="1:8">
      <c r="A41" s="1024"/>
      <c r="B41" s="1067" t="s">
        <v>62</v>
      </c>
      <c r="C41" s="1065"/>
      <c r="D41" s="1334">
        <v>0.1430254080430759</v>
      </c>
      <c r="E41" s="1335">
        <v>0.11226354747327058</v>
      </c>
      <c r="F41" s="1336"/>
    </row>
    <row r="42" spans="1:8" ht="16.5">
      <c r="A42" s="1024"/>
      <c r="B42" s="535"/>
      <c r="C42" s="1139"/>
      <c r="D42" s="1139"/>
      <c r="E42" s="1140"/>
      <c r="F42" s="1122"/>
    </row>
    <row r="43" spans="1:8" ht="16.5" hidden="1">
      <c r="A43" s="1024"/>
      <c r="B43" s="1025" t="s">
        <v>395</v>
      </c>
      <c r="C43" s="1139"/>
      <c r="D43" s="1139"/>
      <c r="E43" s="1140"/>
      <c r="F43" s="1122"/>
    </row>
    <row r="44" spans="1:8" ht="49.5" hidden="1">
      <c r="A44" s="1024"/>
      <c r="B44" s="1071" t="s">
        <v>216</v>
      </c>
      <c r="C44" s="1070" t="s">
        <v>393</v>
      </c>
      <c r="D44" s="1072" t="s">
        <v>394</v>
      </c>
      <c r="E44" s="1140"/>
      <c r="F44" s="1122"/>
    </row>
    <row r="45" spans="1:8" hidden="1">
      <c r="A45" s="1024"/>
      <c r="B45" s="1057" t="s">
        <v>60</v>
      </c>
      <c r="C45" s="1767" t="s">
        <v>215</v>
      </c>
      <c r="D45" s="1768"/>
      <c r="E45" s="1140"/>
      <c r="F45" s="1122"/>
    </row>
    <row r="46" spans="1:8" hidden="1">
      <c r="A46" s="1024"/>
      <c r="B46" s="1057" t="s">
        <v>61</v>
      </c>
      <c r="C46" s="1073">
        <v>15.65</v>
      </c>
      <c r="D46" s="1074">
        <v>17.61</v>
      </c>
      <c r="E46" s="1140"/>
      <c r="F46" s="1122"/>
    </row>
    <row r="47" spans="1:8" hidden="1">
      <c r="A47" s="1024"/>
      <c r="B47" s="1057" t="s">
        <v>62</v>
      </c>
      <c r="C47" s="1057" t="s">
        <v>215</v>
      </c>
      <c r="D47" s="1057"/>
      <c r="E47" s="1140"/>
      <c r="F47" s="1122"/>
    </row>
    <row r="48" spans="1:8" ht="16.5" hidden="1">
      <c r="A48" s="1024"/>
      <c r="B48" s="535"/>
      <c r="C48" s="1139"/>
      <c r="D48" s="1139"/>
      <c r="E48" s="1140"/>
      <c r="F48" s="1122"/>
    </row>
    <row r="49" spans="1:8" ht="17.25" thickBot="1">
      <c r="A49" s="1024"/>
      <c r="B49" s="1045" t="s">
        <v>69</v>
      </c>
      <c r="C49" s="1252"/>
      <c r="D49" s="1252"/>
      <c r="E49" s="1253"/>
      <c r="F49" s="1142"/>
    </row>
    <row r="50" spans="1:8" ht="8.25" customHeight="1" thickBot="1">
      <c r="A50" s="1024"/>
      <c r="B50" s="1025"/>
      <c r="C50" s="1141"/>
      <c r="D50" s="1141"/>
      <c r="E50" s="1091"/>
      <c r="F50" s="1142"/>
    </row>
    <row r="51" spans="1:8" ht="16.5">
      <c r="A51" s="1024"/>
      <c r="B51" s="535"/>
      <c r="C51" s="535"/>
      <c r="D51" s="975" t="s">
        <v>51</v>
      </c>
      <c r="E51" s="952" t="s">
        <v>51</v>
      </c>
      <c r="F51" s="1117"/>
      <c r="H51" s="1075" t="s">
        <v>51</v>
      </c>
    </row>
    <row r="52" spans="1:8" ht="17.25" thickBot="1">
      <c r="A52" s="1024"/>
      <c r="B52" s="1045"/>
      <c r="C52" s="977"/>
      <c r="D52" s="981" t="s">
        <v>475</v>
      </c>
      <c r="E52" s="982" t="s">
        <v>429</v>
      </c>
      <c r="F52" s="1117"/>
      <c r="H52" s="951" t="s">
        <v>352</v>
      </c>
    </row>
    <row r="53" spans="1:8" ht="16.5">
      <c r="A53" s="1024"/>
      <c r="B53" s="1038" t="s">
        <v>70</v>
      </c>
      <c r="C53" s="983"/>
      <c r="D53" s="1257">
        <f>'Ratio cal'!F319</f>
        <v>2.3006385811085499</v>
      </c>
      <c r="E53" s="985">
        <v>2.68</v>
      </c>
      <c r="F53" s="1029"/>
      <c r="H53" s="1076">
        <v>4.08</v>
      </c>
    </row>
    <row r="54" spans="1:8" ht="16.5">
      <c r="A54" s="1024"/>
      <c r="B54" s="986" t="s">
        <v>71</v>
      </c>
      <c r="C54" s="986"/>
      <c r="D54" s="1255">
        <f>'Ratio cal'!F474</f>
        <v>1.4815542882029085</v>
      </c>
      <c r="E54" s="988">
        <v>1.3893998324864802</v>
      </c>
      <c r="F54" s="1029"/>
      <c r="H54" s="1076">
        <v>1.36</v>
      </c>
    </row>
    <row r="55" spans="1:8" ht="16.5">
      <c r="A55" s="1024"/>
      <c r="B55" s="986" t="s">
        <v>72</v>
      </c>
      <c r="C55" s="986"/>
      <c r="D55" s="1255">
        <f>'Ratio cal'!F468</f>
        <v>78.766828230137605</v>
      </c>
      <c r="E55" s="988">
        <v>88.39</v>
      </c>
      <c r="F55" s="1029"/>
      <c r="H55" s="1077">
        <v>66.150000000000006</v>
      </c>
    </row>
    <row r="56" spans="1:8" ht="8.25" customHeight="1" thickBot="1">
      <c r="A56" s="1024"/>
      <c r="B56" s="535"/>
      <c r="C56" s="535"/>
      <c r="D56" s="1100"/>
      <c r="E56" s="889"/>
      <c r="F56" s="1029"/>
      <c r="H56" s="1077"/>
    </row>
    <row r="57" spans="1:8" ht="13.5" customHeight="1" thickBot="1">
      <c r="A57" s="1035"/>
      <c r="B57" s="977"/>
      <c r="C57" s="1047"/>
      <c r="D57" s="1047"/>
      <c r="E57" s="977"/>
      <c r="F57" s="1036"/>
    </row>
    <row r="58" spans="1:8" ht="16.5">
      <c r="B58" s="1063" t="s">
        <v>73</v>
      </c>
      <c r="C58" s="1078"/>
      <c r="D58" s="1060"/>
      <c r="E58" s="1061"/>
      <c r="F58" s="1061"/>
    </row>
    <row r="59" spans="1:8" ht="52.5" customHeight="1">
      <c r="B59" s="1770" t="s">
        <v>74</v>
      </c>
      <c r="C59" s="1770"/>
      <c r="D59" s="1770"/>
      <c r="E59" s="1770"/>
      <c r="F59" s="1079"/>
    </row>
    <row r="60" spans="1:8" ht="16.5">
      <c r="B60" s="965"/>
      <c r="C60" s="1014"/>
      <c r="D60" s="1014"/>
      <c r="E60" s="965"/>
      <c r="F60" s="965"/>
    </row>
    <row r="61" spans="1:8" ht="16.5">
      <c r="B61" s="948"/>
      <c r="C61" s="1080"/>
      <c r="D61" s="1080"/>
    </row>
    <row r="62" spans="1:8" ht="16.5">
      <c r="C62" s="1014"/>
      <c r="D62" s="1014"/>
    </row>
    <row r="64" spans="1:8" ht="58.5" customHeight="1">
      <c r="B64" s="1764"/>
      <c r="C64" s="1764"/>
      <c r="D64" s="1764"/>
      <c r="E64" s="1764"/>
      <c r="F64" s="1081"/>
    </row>
    <row r="65" spans="2:6" ht="68.25" customHeight="1">
      <c r="B65" s="1764"/>
      <c r="C65" s="1764"/>
      <c r="D65" s="1764"/>
      <c r="E65" s="1764"/>
      <c r="F65" s="1081"/>
    </row>
    <row r="66" spans="2:6" ht="59.25" customHeight="1">
      <c r="B66" s="1764"/>
      <c r="C66" s="1764"/>
      <c r="D66" s="1764"/>
      <c r="E66" s="1764"/>
      <c r="F66" s="1081"/>
    </row>
    <row r="71" spans="2:6">
      <c r="B71" s="535"/>
      <c r="C71" s="535"/>
      <c r="D71" s="535"/>
      <c r="E71" s="535"/>
      <c r="F71" s="535"/>
    </row>
    <row r="72" spans="2:6" ht="16.5">
      <c r="B72" s="535"/>
      <c r="C72" s="952"/>
      <c r="D72" s="952"/>
      <c r="E72" s="952"/>
      <c r="F72" s="952"/>
    </row>
    <row r="73" spans="2:6" ht="16.5">
      <c r="B73" s="1082"/>
      <c r="C73" s="952"/>
      <c r="D73" s="952"/>
      <c r="E73" s="952"/>
      <c r="F73" s="952"/>
    </row>
    <row r="74" spans="2:6">
      <c r="B74" s="1083"/>
      <c r="C74" s="535"/>
      <c r="D74" s="535"/>
      <c r="E74" s="535"/>
      <c r="F74" s="535"/>
    </row>
    <row r="75" spans="2:6">
      <c r="B75" s="1083"/>
      <c r="C75" s="908"/>
      <c r="D75" s="908"/>
      <c r="E75" s="1084"/>
      <c r="F75" s="1084"/>
    </row>
    <row r="76" spans="2:6">
      <c r="B76" s="1083"/>
      <c r="C76" s="908"/>
      <c r="D76" s="908"/>
      <c r="E76" s="1084"/>
      <c r="F76" s="1084"/>
    </row>
    <row r="77" spans="2:6">
      <c r="B77" s="1083"/>
      <c r="C77" s="908"/>
      <c r="D77" s="908"/>
      <c r="E77" s="1084"/>
      <c r="F77" s="1084"/>
    </row>
    <row r="78" spans="2:6">
      <c r="B78" s="1083"/>
      <c r="C78" s="908"/>
      <c r="D78" s="908"/>
      <c r="E78" s="1084"/>
      <c r="F78" s="1084"/>
    </row>
    <row r="79" spans="2:6">
      <c r="B79" s="1083"/>
      <c r="C79" s="908"/>
      <c r="D79" s="908"/>
      <c r="E79" s="1084"/>
      <c r="F79" s="1084"/>
    </row>
    <row r="80" spans="2:6">
      <c r="B80" s="1083"/>
      <c r="C80" s="908"/>
      <c r="D80" s="908"/>
      <c r="E80" s="1084"/>
      <c r="F80" s="1084"/>
    </row>
    <row r="81" spans="2:6">
      <c r="B81" s="1083"/>
      <c r="C81" s="908"/>
      <c r="D81" s="908"/>
      <c r="E81" s="1084"/>
      <c r="F81" s="1084"/>
    </row>
    <row r="82" spans="2:6">
      <c r="B82" s="1083"/>
      <c r="C82" s="908"/>
      <c r="D82" s="908"/>
      <c r="E82" s="1085"/>
      <c r="F82" s="1085"/>
    </row>
    <row r="83" spans="2:6">
      <c r="B83" s="1083"/>
      <c r="C83" s="908"/>
      <c r="D83" s="908"/>
      <c r="E83" s="1085"/>
      <c r="F83" s="1085"/>
    </row>
    <row r="84" spans="2:6">
      <c r="B84" s="1083"/>
      <c r="C84" s="908"/>
      <c r="D84" s="908"/>
      <c r="E84" s="1084"/>
      <c r="F84" s="1084"/>
    </row>
    <row r="85" spans="2:6">
      <c r="B85" s="1083"/>
      <c r="C85" s="908"/>
      <c r="D85" s="908"/>
      <c r="E85" s="1084"/>
      <c r="F85" s="1084"/>
    </row>
    <row r="86" spans="2:6">
      <c r="B86" s="1083"/>
      <c r="C86" s="908"/>
      <c r="D86" s="908"/>
      <c r="E86" s="1084"/>
      <c r="F86" s="1084"/>
    </row>
    <row r="87" spans="2:6">
      <c r="B87" s="1083"/>
      <c r="C87" s="908"/>
      <c r="D87" s="908"/>
      <c r="E87" s="1084"/>
      <c r="F87" s="1084"/>
    </row>
    <row r="88" spans="2:6">
      <c r="B88" s="1083"/>
      <c r="C88" s="908"/>
      <c r="D88" s="908"/>
      <c r="E88" s="1084"/>
      <c r="F88" s="1084"/>
    </row>
    <row r="89" spans="2:6">
      <c r="B89" s="1083"/>
      <c r="C89" s="908"/>
      <c r="D89" s="908"/>
      <c r="E89" s="1084"/>
      <c r="F89" s="1084"/>
    </row>
    <row r="90" spans="2:6">
      <c r="B90" s="1083"/>
      <c r="C90" s="908"/>
      <c r="D90" s="908"/>
      <c r="E90" s="1084"/>
      <c r="F90" s="1084"/>
    </row>
    <row r="91" spans="2:6">
      <c r="B91" s="1083"/>
      <c r="C91" s="908"/>
      <c r="D91" s="908"/>
      <c r="E91" s="1084"/>
      <c r="F91" s="1084"/>
    </row>
    <row r="92" spans="2:6">
      <c r="B92" s="1083"/>
      <c r="C92" s="908"/>
      <c r="D92" s="908"/>
      <c r="E92" s="1084"/>
      <c r="F92" s="1084"/>
    </row>
    <row r="93" spans="2:6">
      <c r="B93" s="1083"/>
      <c r="C93" s="908"/>
      <c r="D93" s="908"/>
      <c r="E93" s="1084"/>
      <c r="F93" s="1084"/>
    </row>
    <row r="94" spans="2:6">
      <c r="B94" s="1083"/>
      <c r="C94" s="908"/>
      <c r="D94" s="908"/>
      <c r="E94" s="1084"/>
      <c r="F94" s="1084"/>
    </row>
    <row r="95" spans="2:6">
      <c r="B95" s="1083"/>
      <c r="C95" s="908"/>
      <c r="D95" s="908"/>
      <c r="E95" s="1084"/>
      <c r="F95" s="1084"/>
    </row>
    <row r="96" spans="2:6">
      <c r="B96" s="1083"/>
      <c r="C96" s="908"/>
      <c r="D96" s="908"/>
      <c r="E96" s="1084"/>
      <c r="F96" s="1084"/>
    </row>
    <row r="97" spans="2:6">
      <c r="B97" s="1083"/>
      <c r="C97" s="908"/>
      <c r="D97" s="908"/>
      <c r="E97" s="1084"/>
      <c r="F97" s="1084"/>
    </row>
    <row r="98" spans="2:6">
      <c r="B98" s="1083"/>
      <c r="C98" s="908"/>
      <c r="D98" s="908"/>
      <c r="E98" s="908"/>
      <c r="F98" s="908"/>
    </row>
    <row r="99" spans="2:6" ht="16.5">
      <c r="B99" s="1082"/>
      <c r="C99" s="908"/>
      <c r="D99" s="908"/>
      <c r="E99" s="1084"/>
      <c r="F99" s="1084"/>
    </row>
    <row r="100" spans="2:6">
      <c r="B100" s="1083"/>
      <c r="C100" s="908"/>
      <c r="D100" s="908"/>
      <c r="E100" s="1084"/>
      <c r="F100" s="1084"/>
    </row>
    <row r="101" spans="2:6">
      <c r="B101" s="1083"/>
      <c r="C101" s="908"/>
      <c r="D101" s="908"/>
      <c r="E101" s="1084"/>
      <c r="F101" s="1084"/>
    </row>
    <row r="102" spans="2:6">
      <c r="B102" s="1083"/>
      <c r="C102" s="908"/>
      <c r="D102" s="908"/>
      <c r="E102" s="1084"/>
      <c r="F102" s="1084"/>
    </row>
    <row r="103" spans="2:6">
      <c r="B103" s="1083"/>
      <c r="C103" s="908"/>
      <c r="D103" s="908"/>
      <c r="E103" s="1084"/>
      <c r="F103" s="1084"/>
    </row>
    <row r="104" spans="2:6">
      <c r="B104" s="1083"/>
      <c r="C104" s="908"/>
      <c r="D104" s="908"/>
      <c r="E104" s="1084"/>
      <c r="F104" s="1084"/>
    </row>
    <row r="105" spans="2:6">
      <c r="B105" s="1083"/>
      <c r="C105" s="908"/>
      <c r="D105" s="908"/>
      <c r="E105" s="1084"/>
      <c r="F105" s="1084"/>
    </row>
    <row r="106" spans="2:6">
      <c r="B106" s="1083"/>
      <c r="C106" s="908"/>
      <c r="D106" s="908"/>
      <c r="E106" s="1084"/>
      <c r="F106" s="1084"/>
    </row>
    <row r="107" spans="2:6">
      <c r="B107" s="1086"/>
      <c r="C107" s="908"/>
      <c r="D107" s="908"/>
      <c r="E107" s="1084"/>
      <c r="F107" s="1084"/>
    </row>
    <row r="108" spans="2:6">
      <c r="B108" s="1087"/>
      <c r="C108" s="908"/>
      <c r="D108" s="908"/>
      <c r="E108" s="908"/>
      <c r="F108" s="908"/>
    </row>
    <row r="109" spans="2:6" ht="16.5">
      <c r="B109" s="1082"/>
      <c r="C109" s="908"/>
      <c r="D109" s="908"/>
      <c r="E109" s="1084"/>
      <c r="F109" s="1084"/>
    </row>
    <row r="110" spans="2:6">
      <c r="B110" s="1083"/>
      <c r="C110" s="908"/>
      <c r="D110" s="908"/>
      <c r="E110" s="1084"/>
      <c r="F110" s="1084"/>
    </row>
    <row r="111" spans="2:6">
      <c r="B111" s="1083"/>
      <c r="C111" s="908"/>
      <c r="D111" s="908"/>
      <c r="E111" s="1084"/>
      <c r="F111" s="1084"/>
    </row>
    <row r="112" spans="2:6">
      <c r="B112" s="1083"/>
      <c r="C112" s="908"/>
      <c r="D112" s="908"/>
      <c r="E112" s="1084"/>
      <c r="F112" s="1084"/>
    </row>
    <row r="113" spans="2:6">
      <c r="B113" s="1083"/>
      <c r="C113" s="908"/>
      <c r="D113" s="908"/>
      <c r="E113" s="1084"/>
      <c r="F113" s="1084"/>
    </row>
    <row r="114" spans="2:6">
      <c r="B114" s="1083"/>
      <c r="C114" s="908"/>
      <c r="D114" s="908"/>
      <c r="E114" s="1084"/>
      <c r="F114" s="1084"/>
    </row>
    <row r="115" spans="2:6">
      <c r="B115" s="1083"/>
      <c r="C115" s="908"/>
      <c r="D115" s="908"/>
      <c r="E115" s="1084"/>
      <c r="F115" s="1084"/>
    </row>
    <row r="116" spans="2:6">
      <c r="B116" s="1083"/>
      <c r="C116" s="908"/>
      <c r="D116" s="908"/>
      <c r="E116" s="1084"/>
      <c r="F116" s="1084"/>
    </row>
    <row r="117" spans="2:6">
      <c r="B117" s="1083"/>
      <c r="C117" s="908"/>
      <c r="D117" s="908"/>
      <c r="E117" s="1084"/>
      <c r="F117" s="1084"/>
    </row>
    <row r="118" spans="2:6">
      <c r="B118" s="1083"/>
      <c r="C118" s="908"/>
      <c r="D118" s="908"/>
      <c r="E118" s="1084"/>
      <c r="F118" s="1084"/>
    </row>
    <row r="119" spans="2:6">
      <c r="B119" s="1083"/>
      <c r="C119" s="908"/>
      <c r="D119" s="908"/>
      <c r="E119" s="1084"/>
      <c r="F119" s="1084"/>
    </row>
    <row r="120" spans="2:6">
      <c r="B120" s="1083"/>
      <c r="C120" s="908"/>
      <c r="D120" s="908"/>
      <c r="E120" s="1084"/>
      <c r="F120" s="1084"/>
    </row>
    <row r="121" spans="2:6">
      <c r="B121" s="1086"/>
      <c r="C121" s="908"/>
      <c r="D121" s="908"/>
      <c r="E121" s="908"/>
      <c r="F121" s="908"/>
    </row>
    <row r="122" spans="2:6">
      <c r="B122" s="1083"/>
      <c r="C122" s="908"/>
      <c r="D122" s="908"/>
      <c r="E122" s="1084"/>
      <c r="F122" s="1084"/>
    </row>
    <row r="123" spans="2:6">
      <c r="B123" s="1083"/>
      <c r="C123" s="908"/>
      <c r="D123" s="908"/>
      <c r="E123" s="1084"/>
      <c r="F123" s="1084"/>
    </row>
    <row r="124" spans="2:6" ht="16.5">
      <c r="B124" s="1082"/>
      <c r="C124" s="908"/>
      <c r="D124" s="908"/>
      <c r="E124" s="1084"/>
      <c r="F124" s="1084"/>
    </row>
    <row r="125" spans="2:6" ht="16.5">
      <c r="B125" s="1082"/>
      <c r="C125" s="908"/>
      <c r="D125" s="908"/>
      <c r="E125" s="1084"/>
      <c r="F125" s="1084"/>
    </row>
    <row r="126" spans="2:6">
      <c r="B126" s="1083"/>
      <c r="C126" s="908"/>
      <c r="D126" s="908"/>
      <c r="E126" s="1084"/>
      <c r="F126" s="1084"/>
    </row>
    <row r="127" spans="2:6">
      <c r="B127" s="1083"/>
      <c r="C127" s="908"/>
      <c r="D127" s="908"/>
      <c r="E127" s="1084"/>
      <c r="F127" s="1084"/>
    </row>
    <row r="128" spans="2:6">
      <c r="B128" s="1083"/>
      <c r="C128" s="908"/>
      <c r="D128" s="908"/>
      <c r="E128" s="1084"/>
      <c r="F128" s="1084"/>
    </row>
    <row r="129" spans="2:6">
      <c r="B129" s="1083"/>
      <c r="C129" s="908"/>
      <c r="D129" s="908"/>
      <c r="E129" s="1084"/>
      <c r="F129" s="1084"/>
    </row>
    <row r="130" spans="2:6">
      <c r="B130" s="1083"/>
      <c r="C130" s="908"/>
      <c r="D130" s="908"/>
      <c r="E130" s="1084"/>
      <c r="F130" s="1084"/>
    </row>
    <row r="131" spans="2:6">
      <c r="B131" s="1083"/>
      <c r="C131" s="908"/>
      <c r="D131" s="908"/>
      <c r="E131" s="1084"/>
      <c r="F131" s="1084"/>
    </row>
    <row r="132" spans="2:6">
      <c r="B132" s="1083"/>
      <c r="C132" s="908"/>
      <c r="D132" s="908"/>
      <c r="E132" s="1084"/>
      <c r="F132" s="1084"/>
    </row>
    <row r="133" spans="2:6">
      <c r="B133" s="1083"/>
      <c r="C133" s="908"/>
      <c r="D133" s="908"/>
      <c r="E133" s="1084"/>
      <c r="F133" s="1084"/>
    </row>
    <row r="134" spans="2:6">
      <c r="B134" s="1083"/>
      <c r="C134" s="908"/>
      <c r="D134" s="908"/>
      <c r="E134" s="1084"/>
      <c r="F134" s="1084"/>
    </row>
    <row r="135" spans="2:6">
      <c r="B135" s="1083"/>
      <c r="C135" s="908"/>
      <c r="D135" s="908"/>
      <c r="E135" s="1084"/>
      <c r="F135" s="1084"/>
    </row>
    <row r="136" spans="2:6">
      <c r="B136" s="1083"/>
      <c r="C136" s="908"/>
      <c r="D136" s="908"/>
      <c r="E136" s="1084"/>
      <c r="F136" s="1084"/>
    </row>
    <row r="137" spans="2:6">
      <c r="B137" s="1083"/>
      <c r="C137" s="908"/>
      <c r="D137" s="908"/>
      <c r="E137" s="1084"/>
      <c r="F137" s="1084"/>
    </row>
    <row r="138" spans="2:6">
      <c r="B138" s="1083"/>
      <c r="C138" s="908"/>
      <c r="D138" s="908"/>
      <c r="E138" s="1084"/>
      <c r="F138" s="1084"/>
    </row>
    <row r="139" spans="2:6">
      <c r="B139" s="1083"/>
      <c r="C139" s="908"/>
      <c r="D139" s="908"/>
      <c r="E139" s="1084"/>
      <c r="F139" s="1084"/>
    </row>
    <row r="140" spans="2:6">
      <c r="B140" s="1083"/>
      <c r="C140" s="908"/>
      <c r="D140" s="908"/>
      <c r="E140" s="1084"/>
      <c r="F140" s="1084"/>
    </row>
    <row r="141" spans="2:6">
      <c r="B141" s="1083"/>
      <c r="C141" s="908"/>
      <c r="D141" s="908"/>
      <c r="E141" s="1084"/>
      <c r="F141" s="1084"/>
    </row>
    <row r="142" spans="2:6">
      <c r="B142" s="1083"/>
      <c r="C142" s="908"/>
      <c r="D142" s="908"/>
      <c r="E142" s="1084"/>
      <c r="F142" s="1084"/>
    </row>
    <row r="143" spans="2:6">
      <c r="B143" s="1083"/>
      <c r="C143" s="908"/>
      <c r="D143" s="908"/>
      <c r="E143" s="1084"/>
      <c r="F143" s="1084"/>
    </row>
    <row r="144" spans="2:6">
      <c r="B144" s="1083"/>
      <c r="C144" s="908"/>
      <c r="D144" s="908"/>
      <c r="E144" s="1084"/>
      <c r="F144" s="1084"/>
    </row>
    <row r="145" spans="2:6">
      <c r="B145" s="1083"/>
      <c r="C145" s="908"/>
      <c r="D145" s="908"/>
      <c r="E145" s="908"/>
      <c r="F145" s="908"/>
    </row>
    <row r="146" spans="2:6">
      <c r="B146" s="1083"/>
      <c r="C146" s="908"/>
      <c r="D146" s="908"/>
      <c r="E146" s="908"/>
      <c r="F146" s="908"/>
    </row>
    <row r="147" spans="2:6" ht="16.5">
      <c r="B147" s="1082"/>
      <c r="C147" s="908"/>
      <c r="D147" s="908"/>
      <c r="E147" s="1084"/>
      <c r="F147" s="1084"/>
    </row>
    <row r="148" spans="2:6" ht="16.5">
      <c r="B148" s="1082"/>
      <c r="C148" s="908"/>
      <c r="D148" s="908"/>
      <c r="E148" s="1084"/>
      <c r="F148" s="1084"/>
    </row>
    <row r="149" spans="2:6" ht="16.5">
      <c r="B149" s="1082"/>
      <c r="C149" s="908"/>
      <c r="D149" s="908"/>
      <c r="E149" s="1084"/>
      <c r="F149" s="1084"/>
    </row>
    <row r="150" spans="2:6">
      <c r="B150" s="1083"/>
      <c r="C150" s="908"/>
      <c r="D150" s="908"/>
      <c r="E150" s="1084"/>
      <c r="F150" s="1084"/>
    </row>
    <row r="151" spans="2:6">
      <c r="B151" s="1083"/>
      <c r="C151" s="908"/>
      <c r="D151" s="908"/>
      <c r="E151" s="1084"/>
      <c r="F151" s="1084"/>
    </row>
    <row r="152" spans="2:6">
      <c r="B152" s="1083"/>
      <c r="C152" s="908"/>
      <c r="D152" s="908"/>
      <c r="E152" s="1084"/>
      <c r="F152" s="1084"/>
    </row>
    <row r="153" spans="2:6">
      <c r="B153" s="1083"/>
      <c r="C153" s="908"/>
      <c r="D153" s="908"/>
      <c r="E153" s="1084"/>
      <c r="F153" s="1084"/>
    </row>
    <row r="154" spans="2:6">
      <c r="B154" s="1083"/>
      <c r="C154" s="908"/>
      <c r="D154" s="908"/>
      <c r="E154" s="1084"/>
      <c r="F154" s="1084"/>
    </row>
    <row r="155" spans="2:6">
      <c r="B155" s="1083"/>
      <c r="C155" s="908"/>
      <c r="D155" s="908"/>
      <c r="E155" s="1084"/>
      <c r="F155" s="1084"/>
    </row>
    <row r="156" spans="2:6">
      <c r="B156" s="1083"/>
      <c r="C156" s="908"/>
      <c r="D156" s="908"/>
      <c r="E156" s="1084"/>
      <c r="F156" s="1084"/>
    </row>
    <row r="157" spans="2:6">
      <c r="B157" s="1083"/>
      <c r="C157" s="908"/>
      <c r="D157" s="908"/>
      <c r="E157" s="1084"/>
      <c r="F157" s="1084"/>
    </row>
    <row r="158" spans="2:6">
      <c r="B158" s="1083"/>
      <c r="C158" s="908"/>
      <c r="D158" s="908"/>
      <c r="E158" s="1084"/>
      <c r="F158" s="1084"/>
    </row>
    <row r="159" spans="2:6">
      <c r="B159" s="1083"/>
      <c r="C159" s="908"/>
      <c r="D159" s="908"/>
      <c r="E159" s="1084"/>
      <c r="F159" s="1084"/>
    </row>
    <row r="160" spans="2:6">
      <c r="B160" s="1083"/>
      <c r="C160" s="908"/>
      <c r="D160" s="908"/>
      <c r="E160" s="1084"/>
      <c r="F160" s="1084"/>
    </row>
    <row r="161" spans="2:6">
      <c r="B161" s="1083"/>
      <c r="C161" s="908"/>
      <c r="D161" s="908"/>
      <c r="E161" s="1084"/>
      <c r="F161" s="1084"/>
    </row>
    <row r="162" spans="2:6">
      <c r="B162" s="1083"/>
      <c r="C162" s="908"/>
      <c r="D162" s="908"/>
      <c r="E162" s="1084"/>
      <c r="F162" s="1084"/>
    </row>
    <row r="163" spans="2:6">
      <c r="B163" s="1083"/>
      <c r="C163" s="908"/>
      <c r="D163" s="908"/>
      <c r="E163" s="1084"/>
      <c r="F163" s="1084"/>
    </row>
    <row r="164" spans="2:6">
      <c r="B164" s="1083"/>
      <c r="C164" s="908"/>
      <c r="D164" s="908"/>
      <c r="E164" s="1084"/>
      <c r="F164" s="1084"/>
    </row>
    <row r="165" spans="2:6">
      <c r="B165" s="1083"/>
      <c r="C165" s="908"/>
      <c r="D165" s="908"/>
      <c r="E165" s="1084"/>
      <c r="F165" s="1084"/>
    </row>
    <row r="166" spans="2:6">
      <c r="B166" s="1083"/>
      <c r="C166" s="908"/>
      <c r="D166" s="908"/>
      <c r="E166" s="1084"/>
      <c r="F166" s="1084"/>
    </row>
    <row r="167" spans="2:6">
      <c r="B167" s="1083"/>
      <c r="C167" s="908"/>
      <c r="D167" s="908"/>
      <c r="E167" s="1084"/>
      <c r="F167" s="1084"/>
    </row>
    <row r="168" spans="2:6">
      <c r="B168" s="1083"/>
      <c r="C168" s="908"/>
      <c r="D168" s="908"/>
      <c r="E168" s="1084"/>
      <c r="F168" s="1084"/>
    </row>
    <row r="169" spans="2:6">
      <c r="B169" s="1083"/>
      <c r="C169" s="908"/>
      <c r="D169" s="908"/>
      <c r="E169" s="908"/>
      <c r="F169" s="908"/>
    </row>
    <row r="170" spans="2:6">
      <c r="B170" s="1083"/>
      <c r="C170" s="908"/>
      <c r="D170" s="908"/>
      <c r="E170" s="908"/>
      <c r="F170" s="908"/>
    </row>
    <row r="171" spans="2:6">
      <c r="B171" s="1083"/>
      <c r="C171" s="908"/>
      <c r="D171" s="908"/>
      <c r="E171" s="1084"/>
      <c r="F171" s="1084"/>
    </row>
    <row r="172" spans="2:6" ht="16.5">
      <c r="B172" s="1082"/>
      <c r="C172" s="908"/>
      <c r="D172" s="908"/>
      <c r="E172" s="1084"/>
      <c r="F172" s="1084"/>
    </row>
    <row r="173" spans="2:6" ht="16.5">
      <c r="B173" s="1082"/>
      <c r="C173" s="908"/>
      <c r="D173" s="908"/>
      <c r="E173" s="1084"/>
      <c r="F173" s="1084"/>
    </row>
    <row r="174" spans="2:6">
      <c r="B174" s="1083"/>
      <c r="C174" s="908"/>
      <c r="D174" s="908"/>
      <c r="E174" s="1084"/>
      <c r="F174" s="1084"/>
    </row>
    <row r="175" spans="2:6">
      <c r="B175" s="1083"/>
      <c r="C175" s="908"/>
      <c r="D175" s="908"/>
      <c r="E175" s="1084"/>
      <c r="F175" s="1084"/>
    </row>
    <row r="176" spans="2:6">
      <c r="B176" s="1083"/>
      <c r="C176" s="908"/>
      <c r="D176" s="908"/>
      <c r="E176" s="1084"/>
      <c r="F176" s="1084"/>
    </row>
    <row r="177" spans="2:6">
      <c r="B177" s="1083"/>
      <c r="C177" s="908"/>
      <c r="D177" s="908"/>
      <c r="E177" s="1084"/>
      <c r="F177" s="1084"/>
    </row>
    <row r="178" spans="2:6">
      <c r="B178" s="1083"/>
      <c r="C178" s="908"/>
      <c r="D178" s="908"/>
      <c r="E178" s="1084"/>
      <c r="F178" s="1084"/>
    </row>
    <row r="179" spans="2:6" ht="16.5">
      <c r="B179" s="1088"/>
      <c r="C179" s="908"/>
      <c r="D179" s="908"/>
      <c r="E179" s="1084"/>
      <c r="F179" s="1084"/>
    </row>
    <row r="180" spans="2:6">
      <c r="B180" s="1083"/>
      <c r="C180" s="908"/>
      <c r="D180" s="908"/>
      <c r="E180" s="908"/>
      <c r="F180" s="908"/>
    </row>
    <row r="181" spans="2:6" ht="16.5">
      <c r="B181" s="1083"/>
      <c r="C181" s="908"/>
      <c r="D181" s="908"/>
      <c r="E181" s="1060"/>
      <c r="F181" s="1060"/>
    </row>
    <row r="182" spans="2:6" ht="16.5">
      <c r="B182" s="1082"/>
      <c r="C182" s="908"/>
      <c r="D182" s="908"/>
      <c r="E182" s="1060"/>
      <c r="F182" s="1060"/>
    </row>
    <row r="183" spans="2:6" ht="16.5">
      <c r="B183" s="1082"/>
      <c r="C183" s="908"/>
      <c r="D183" s="908"/>
      <c r="E183" s="1060"/>
      <c r="F183" s="1060"/>
    </row>
    <row r="184" spans="2:6">
      <c r="B184" s="1083"/>
      <c r="C184" s="908"/>
      <c r="D184" s="908"/>
      <c r="E184" s="1084"/>
      <c r="F184" s="1084"/>
    </row>
    <row r="185" spans="2:6">
      <c r="B185" s="1083"/>
      <c r="C185" s="908"/>
      <c r="D185" s="908"/>
      <c r="E185" s="1084"/>
      <c r="F185" s="1084"/>
    </row>
    <row r="186" spans="2:6">
      <c r="B186" s="1083"/>
      <c r="C186" s="908"/>
      <c r="D186" s="908"/>
      <c r="E186" s="1084"/>
      <c r="F186" s="1084"/>
    </row>
    <row r="187" spans="2:6" ht="16.5">
      <c r="B187" s="1083"/>
      <c r="C187" s="908"/>
      <c r="D187" s="908"/>
      <c r="E187" s="1060"/>
      <c r="F187" s="1060"/>
    </row>
    <row r="188" spans="2:6">
      <c r="B188" s="1083"/>
      <c r="C188" s="908"/>
      <c r="D188" s="908"/>
      <c r="E188" s="1084"/>
      <c r="F188" s="1084"/>
    </row>
    <row r="189" spans="2:6">
      <c r="B189" s="1083"/>
      <c r="C189" s="908"/>
      <c r="D189" s="908"/>
      <c r="E189" s="1084"/>
      <c r="F189" s="1084"/>
    </row>
    <row r="190" spans="2:6">
      <c r="B190" s="1083"/>
      <c r="C190" s="908"/>
      <c r="D190" s="908"/>
      <c r="E190" s="1084"/>
      <c r="F190" s="1084"/>
    </row>
    <row r="191" spans="2:6">
      <c r="B191" s="1083"/>
      <c r="C191" s="908"/>
      <c r="D191" s="908"/>
      <c r="E191" s="1084"/>
      <c r="F191" s="1084"/>
    </row>
    <row r="192" spans="2:6">
      <c r="B192" s="1083"/>
      <c r="C192" s="908"/>
      <c r="D192" s="908"/>
      <c r="E192" s="1084"/>
      <c r="F192" s="1084"/>
    </row>
    <row r="193" spans="2:6">
      <c r="B193" s="1083"/>
      <c r="C193" s="908"/>
      <c r="D193" s="908"/>
      <c r="E193" s="1084"/>
      <c r="F193" s="1084"/>
    </row>
    <row r="194" spans="2:6">
      <c r="B194" s="1083"/>
      <c r="C194" s="908"/>
      <c r="D194" s="908"/>
      <c r="E194" s="1084"/>
      <c r="F194" s="1084"/>
    </row>
    <row r="195" spans="2:6">
      <c r="B195" s="1083"/>
      <c r="C195" s="908"/>
      <c r="D195" s="908"/>
      <c r="E195" s="1084"/>
      <c r="F195" s="1084"/>
    </row>
    <row r="196" spans="2:6">
      <c r="B196" s="1083"/>
      <c r="C196" s="908"/>
      <c r="D196" s="908"/>
      <c r="E196" s="1084"/>
      <c r="F196" s="1084"/>
    </row>
    <row r="197" spans="2:6">
      <c r="B197" s="1012"/>
      <c r="C197" s="908"/>
      <c r="D197" s="908"/>
      <c r="E197" s="888"/>
      <c r="F197" s="888"/>
    </row>
    <row r="198" spans="2:6">
      <c r="B198" s="1083"/>
      <c r="C198" s="908"/>
      <c r="D198" s="908"/>
      <c r="E198" s="908"/>
      <c r="F198" s="908"/>
    </row>
    <row r="199" spans="2:6">
      <c r="B199" s="1083"/>
      <c r="C199" s="908"/>
      <c r="D199" s="908"/>
      <c r="E199" s="1084"/>
      <c r="F199" s="1084"/>
    </row>
    <row r="200" spans="2:6">
      <c r="B200" s="1083"/>
      <c r="C200" s="908"/>
      <c r="D200" s="908"/>
      <c r="E200" s="1084"/>
      <c r="F200" s="1084"/>
    </row>
    <row r="201" spans="2:6">
      <c r="B201" s="1083"/>
      <c r="C201" s="908"/>
      <c r="D201" s="908"/>
      <c r="E201" s="908"/>
      <c r="F201" s="908"/>
    </row>
    <row r="202" spans="2:6" ht="16.5">
      <c r="B202" s="1082"/>
      <c r="C202" s="908"/>
      <c r="D202" s="908"/>
      <c r="E202" s="1084"/>
      <c r="F202" s="1084"/>
    </row>
    <row r="203" spans="2:6" ht="16.5">
      <c r="B203" s="1082"/>
      <c r="C203" s="908"/>
      <c r="D203" s="908"/>
      <c r="E203" s="1084"/>
      <c r="F203" s="1084"/>
    </row>
    <row r="204" spans="2:6">
      <c r="B204" s="1083"/>
      <c r="C204" s="908"/>
      <c r="D204" s="908"/>
      <c r="E204" s="1084"/>
      <c r="F204" s="1084"/>
    </row>
    <row r="205" spans="2:6">
      <c r="B205" s="1083"/>
      <c r="C205" s="908"/>
      <c r="D205" s="908"/>
      <c r="E205" s="1084"/>
      <c r="F205" s="1084"/>
    </row>
    <row r="206" spans="2:6">
      <c r="B206" s="1083"/>
      <c r="C206" s="908"/>
      <c r="D206" s="908"/>
      <c r="E206" s="908"/>
      <c r="F206" s="908"/>
    </row>
    <row r="207" spans="2:6">
      <c r="B207" s="1083"/>
      <c r="C207" s="908"/>
      <c r="D207" s="908"/>
      <c r="E207" s="1084"/>
      <c r="F207" s="1084"/>
    </row>
    <row r="208" spans="2:6">
      <c r="B208" s="1083"/>
      <c r="C208" s="908"/>
      <c r="D208" s="908"/>
      <c r="E208" s="1084"/>
      <c r="F208" s="1084"/>
    </row>
    <row r="209" spans="2:6">
      <c r="B209" s="1083"/>
      <c r="C209" s="908"/>
      <c r="D209" s="908"/>
      <c r="E209" s="1084"/>
      <c r="F209" s="1084"/>
    </row>
    <row r="210" spans="2:6">
      <c r="B210" s="1083"/>
      <c r="C210" s="908"/>
      <c r="D210" s="908"/>
      <c r="E210" s="1084"/>
      <c r="F210" s="1084"/>
    </row>
    <row r="211" spans="2:6">
      <c r="B211" s="1083"/>
      <c r="C211" s="908"/>
      <c r="D211" s="908"/>
      <c r="E211" s="1084"/>
      <c r="F211" s="1084"/>
    </row>
    <row r="212" spans="2:6">
      <c r="B212" s="1083"/>
      <c r="C212" s="908"/>
      <c r="D212" s="908"/>
      <c r="E212" s="1084"/>
      <c r="F212" s="1084"/>
    </row>
    <row r="213" spans="2:6">
      <c r="B213" s="1083"/>
      <c r="C213" s="908"/>
      <c r="D213" s="908"/>
      <c r="E213" s="1084"/>
      <c r="F213" s="1084"/>
    </row>
    <row r="214" spans="2:6">
      <c r="B214" s="1083"/>
      <c r="C214" s="908"/>
      <c r="D214" s="908"/>
      <c r="E214" s="1084"/>
      <c r="F214" s="1084"/>
    </row>
    <row r="215" spans="2:6">
      <c r="B215" s="1083"/>
      <c r="C215" s="908"/>
      <c r="D215" s="908"/>
      <c r="E215" s="1084"/>
      <c r="F215" s="1084"/>
    </row>
    <row r="216" spans="2:6">
      <c r="B216" s="1083"/>
      <c r="C216" s="1084"/>
      <c r="D216" s="1084"/>
      <c r="E216" s="1084"/>
      <c r="F216" s="1084"/>
    </row>
    <row r="217" spans="2:6">
      <c r="B217" s="1083"/>
      <c r="C217" s="1084"/>
      <c r="D217" s="1084"/>
      <c r="E217" s="1084"/>
      <c r="F217" s="1084"/>
    </row>
    <row r="218" spans="2:6">
      <c r="B218" s="1083"/>
      <c r="C218" s="908"/>
      <c r="D218" s="908"/>
      <c r="E218" s="1084"/>
      <c r="F218" s="1084"/>
    </row>
    <row r="219" spans="2:6" ht="16.5">
      <c r="B219" s="1082"/>
      <c r="C219" s="908"/>
      <c r="D219" s="908"/>
      <c r="E219" s="1060"/>
      <c r="F219" s="1060"/>
    </row>
    <row r="220" spans="2:6" ht="16.5">
      <c r="B220" s="1082"/>
      <c r="C220" s="908"/>
      <c r="D220" s="908"/>
      <c r="E220" s="1060"/>
      <c r="F220" s="1060"/>
    </row>
    <row r="221" spans="2:6">
      <c r="B221" s="1083"/>
      <c r="C221" s="908"/>
      <c r="D221" s="908"/>
      <c r="E221" s="1084"/>
      <c r="F221" s="1084"/>
    </row>
    <row r="222" spans="2:6" ht="16.5">
      <c r="B222" s="1083"/>
      <c r="C222" s="908"/>
      <c r="D222" s="908"/>
      <c r="E222" s="1060"/>
      <c r="F222" s="1060"/>
    </row>
    <row r="223" spans="2:6">
      <c r="B223" s="1083"/>
      <c r="C223" s="908"/>
      <c r="D223" s="908"/>
      <c r="E223" s="1084"/>
      <c r="F223" s="1084"/>
    </row>
    <row r="224" spans="2:6">
      <c r="B224" s="1083"/>
      <c r="C224" s="908"/>
      <c r="D224" s="908"/>
      <c r="E224" s="1084"/>
      <c r="F224" s="1084"/>
    </row>
    <row r="225" spans="2:6">
      <c r="B225" s="1083"/>
      <c r="C225" s="908"/>
      <c r="D225" s="908"/>
      <c r="E225" s="1084"/>
      <c r="F225" s="1084"/>
    </row>
    <row r="226" spans="2:6">
      <c r="B226" s="1083"/>
      <c r="C226" s="908"/>
      <c r="D226" s="908"/>
      <c r="E226" s="1084"/>
      <c r="F226" s="1084"/>
    </row>
    <row r="227" spans="2:6">
      <c r="B227" s="1083"/>
      <c r="C227" s="908"/>
      <c r="D227" s="908"/>
      <c r="E227" s="1084"/>
      <c r="F227" s="1084"/>
    </row>
    <row r="228" spans="2:6">
      <c r="B228" s="1083"/>
      <c r="C228" s="908"/>
      <c r="D228" s="908"/>
      <c r="E228" s="1084"/>
      <c r="F228" s="1084"/>
    </row>
    <row r="229" spans="2:6">
      <c r="B229" s="535"/>
      <c r="C229" s="908"/>
      <c r="D229" s="908"/>
      <c r="E229" s="1084"/>
      <c r="F229" s="1084"/>
    </row>
    <row r="230" spans="2:6">
      <c r="B230" s="535"/>
      <c r="C230" s="908"/>
      <c r="D230" s="908"/>
      <c r="E230" s="908"/>
      <c r="F230" s="908"/>
    </row>
    <row r="231" spans="2:6">
      <c r="B231" s="535"/>
      <c r="C231" s="535"/>
      <c r="D231" s="535"/>
      <c r="E231" s="535"/>
      <c r="F231" s="535"/>
    </row>
    <row r="232" spans="2:6" ht="16.5">
      <c r="B232" s="1025"/>
      <c r="C232" s="535"/>
      <c r="D232" s="535"/>
      <c r="E232" s="535"/>
      <c r="F232" s="535"/>
    </row>
    <row r="233" spans="2:6" ht="16.5">
      <c r="B233" s="1025"/>
      <c r="C233" s="535"/>
      <c r="D233" s="535"/>
      <c r="E233" s="535"/>
      <c r="F233" s="535"/>
    </row>
    <row r="234" spans="2:6">
      <c r="B234" s="535"/>
      <c r="C234" s="1089"/>
      <c r="D234" s="1089"/>
      <c r="E234" s="535"/>
      <c r="F234" s="535"/>
    </row>
    <row r="235" spans="2:6">
      <c r="B235" s="535"/>
      <c r="C235" s="1089"/>
      <c r="D235" s="1089"/>
      <c r="E235" s="535"/>
      <c r="F235" s="535"/>
    </row>
    <row r="236" spans="2:6">
      <c r="B236" s="535"/>
      <c r="C236" s="1089"/>
      <c r="D236" s="1089"/>
      <c r="E236" s="535"/>
      <c r="F236" s="535"/>
    </row>
    <row r="237" spans="2:6">
      <c r="B237" s="535"/>
      <c r="C237" s="1089"/>
      <c r="D237" s="1089"/>
      <c r="E237" s="535"/>
      <c r="F237" s="535"/>
    </row>
    <row r="238" spans="2:6">
      <c r="B238" s="535"/>
      <c r="C238" s="1090"/>
      <c r="D238" s="1090"/>
      <c r="E238" s="535"/>
      <c r="F238" s="535"/>
    </row>
    <row r="239" spans="2:6">
      <c r="B239" s="535"/>
      <c r="C239" s="535"/>
      <c r="D239" s="535"/>
      <c r="E239" s="535"/>
      <c r="F239" s="535"/>
    </row>
    <row r="240" spans="2:6" ht="16.5">
      <c r="B240" s="1025"/>
      <c r="C240" s="535"/>
      <c r="D240" s="535"/>
      <c r="E240" s="535"/>
      <c r="F240" s="535"/>
    </row>
    <row r="241" spans="2:6">
      <c r="B241" s="1083"/>
      <c r="C241" s="1091"/>
      <c r="D241" s="1091"/>
      <c r="E241" s="535"/>
      <c r="F241" s="535"/>
    </row>
    <row r="242" spans="2:6">
      <c r="B242" s="1083"/>
      <c r="C242" s="1091"/>
      <c r="D242" s="1091"/>
      <c r="E242" s="535"/>
      <c r="F242" s="535"/>
    </row>
    <row r="243" spans="2:6">
      <c r="B243" s="1083"/>
      <c r="C243" s="1091"/>
      <c r="D243" s="1091"/>
      <c r="E243" s="535"/>
      <c r="F243" s="535"/>
    </row>
    <row r="244" spans="2:6">
      <c r="B244" s="535"/>
      <c r="C244" s="1092"/>
      <c r="D244" s="1092"/>
      <c r="E244" s="535"/>
      <c r="F244" s="535"/>
    </row>
    <row r="245" spans="2:6">
      <c r="B245" s="535"/>
      <c r="C245" s="535"/>
      <c r="D245" s="535"/>
      <c r="E245" s="535"/>
      <c r="F245" s="535"/>
    </row>
    <row r="246" spans="2:6" ht="16.5">
      <c r="B246" s="1082"/>
      <c r="C246" s="535"/>
      <c r="D246" s="535"/>
      <c r="E246" s="535"/>
      <c r="F246" s="535"/>
    </row>
    <row r="247" spans="2:6">
      <c r="B247" s="1083"/>
      <c r="C247" s="1093"/>
      <c r="D247" s="1093"/>
      <c r="E247" s="535"/>
      <c r="F247" s="535"/>
    </row>
    <row r="248" spans="2:6">
      <c r="B248" s="1083"/>
      <c r="C248" s="1093"/>
      <c r="D248" s="1093"/>
      <c r="E248" s="535"/>
      <c r="F248" s="535"/>
    </row>
    <row r="249" spans="2:6">
      <c r="B249" s="1083"/>
      <c r="C249" s="1093"/>
      <c r="D249" s="1093"/>
      <c r="E249" s="535"/>
      <c r="F249" s="535"/>
    </row>
    <row r="250" spans="2:6">
      <c r="B250" s="535"/>
      <c r="C250" s="1092"/>
      <c r="D250" s="1092"/>
      <c r="E250" s="535"/>
      <c r="F250" s="535"/>
    </row>
    <row r="251" spans="2:6">
      <c r="B251" s="535"/>
      <c r="C251" s="535"/>
      <c r="D251" s="535"/>
      <c r="E251" s="535"/>
      <c r="F251" s="535"/>
    </row>
    <row r="252" spans="2:6" ht="16.5">
      <c r="B252" s="1082"/>
      <c r="C252" s="535"/>
      <c r="D252" s="535"/>
      <c r="E252" s="535"/>
      <c r="F252" s="535"/>
    </row>
    <row r="253" spans="2:6">
      <c r="B253" s="1083"/>
      <c r="C253" s="1090"/>
      <c r="D253" s="1090"/>
      <c r="E253" s="535"/>
      <c r="F253" s="535"/>
    </row>
    <row r="254" spans="2:6">
      <c r="B254" s="1083"/>
      <c r="C254" s="1090"/>
      <c r="D254" s="1090"/>
      <c r="E254" s="535"/>
      <c r="F254" s="535"/>
    </row>
    <row r="255" spans="2:6">
      <c r="B255" s="1083"/>
      <c r="C255" s="1090"/>
      <c r="D255" s="1090"/>
      <c r="E255" s="535"/>
      <c r="F255" s="535"/>
    </row>
    <row r="256" spans="2:6">
      <c r="B256" s="535"/>
      <c r="C256" s="1092"/>
      <c r="D256" s="1092"/>
      <c r="E256" s="1089"/>
      <c r="F256" s="1089"/>
    </row>
    <row r="257" spans="2:6">
      <c r="B257" s="535"/>
      <c r="C257" s="1092"/>
      <c r="D257" s="1092"/>
      <c r="E257" s="1089"/>
      <c r="F257" s="1089"/>
    </row>
    <row r="258" spans="2:6" ht="16.5">
      <c r="B258" s="1082"/>
      <c r="C258" s="1092"/>
      <c r="D258" s="1092"/>
      <c r="E258" s="1089"/>
      <c r="F258" s="1089"/>
    </row>
    <row r="259" spans="2:6">
      <c r="B259" s="535"/>
      <c r="C259" s="1090"/>
      <c r="D259" s="1090"/>
      <c r="E259" s="1089"/>
      <c r="F259" s="1089"/>
    </row>
    <row r="260" spans="2:6">
      <c r="B260" s="1083"/>
      <c r="C260" s="1090"/>
      <c r="D260" s="1090"/>
      <c r="E260" s="1089"/>
      <c r="F260" s="1089"/>
    </row>
    <row r="261" spans="2:6">
      <c r="B261" s="535"/>
      <c r="C261" s="1090"/>
      <c r="D261" s="1090"/>
      <c r="E261" s="535"/>
      <c r="F261" s="535"/>
    </row>
    <row r="262" spans="2:6" ht="16.5">
      <c r="B262" s="1025"/>
      <c r="C262" s="1090"/>
      <c r="D262" s="1090"/>
      <c r="E262" s="535"/>
      <c r="F262" s="535"/>
    </row>
    <row r="263" spans="2:6">
      <c r="B263" s="535"/>
      <c r="C263" s="1090"/>
      <c r="D263" s="1090"/>
      <c r="E263" s="535"/>
      <c r="F263" s="535"/>
    </row>
    <row r="264" spans="2:6">
      <c r="B264" s="535"/>
      <c r="C264" s="1090"/>
      <c r="D264" s="1090"/>
      <c r="E264" s="535"/>
      <c r="F264" s="535"/>
    </row>
    <row r="265" spans="2:6">
      <c r="B265" s="535"/>
      <c r="C265" s="1090"/>
      <c r="D265" s="1090"/>
      <c r="E265" s="1092"/>
      <c r="F265" s="1092"/>
    </row>
    <row r="266" spans="2:6">
      <c r="B266" s="535"/>
      <c r="C266" s="1090"/>
      <c r="D266" s="1090"/>
      <c r="E266" s="535"/>
      <c r="F266" s="535"/>
    </row>
    <row r="267" spans="2:6" ht="16.5">
      <c r="B267" s="1082"/>
      <c r="C267" s="535"/>
      <c r="D267" s="535"/>
      <c r="E267" s="535"/>
      <c r="F267" s="535"/>
    </row>
    <row r="268" spans="2:6">
      <c r="B268" s="535"/>
      <c r="C268" s="1090"/>
      <c r="D268" s="1090"/>
      <c r="E268" s="535"/>
      <c r="F268" s="535"/>
    </row>
    <row r="269" spans="2:6">
      <c r="B269" s="535"/>
      <c r="C269" s="535"/>
      <c r="D269" s="535"/>
      <c r="E269" s="535"/>
      <c r="F269" s="535"/>
    </row>
    <row r="270" spans="2:6">
      <c r="B270" s="535"/>
      <c r="C270" s="1090"/>
      <c r="D270" s="1090"/>
      <c r="E270" s="535"/>
      <c r="F270" s="535"/>
    </row>
    <row r="271" spans="2:6">
      <c r="B271" s="535"/>
      <c r="C271" s="535"/>
      <c r="D271" s="535"/>
      <c r="E271" s="535"/>
      <c r="F271" s="535"/>
    </row>
    <row r="272" spans="2:6">
      <c r="B272" s="535"/>
      <c r="C272" s="1090"/>
      <c r="D272" s="1090"/>
      <c r="E272" s="535"/>
      <c r="F272" s="535"/>
    </row>
    <row r="273" spans="2:6">
      <c r="B273" s="535"/>
      <c r="C273" s="535"/>
      <c r="D273" s="535"/>
      <c r="E273" s="535"/>
      <c r="F273" s="535"/>
    </row>
    <row r="274" spans="2:6">
      <c r="B274" s="535"/>
      <c r="C274" s="1090"/>
      <c r="D274" s="1090"/>
      <c r="E274" s="535"/>
      <c r="F274" s="535"/>
    </row>
    <row r="275" spans="2:6">
      <c r="B275" s="535"/>
      <c r="C275" s="535"/>
      <c r="D275" s="535"/>
      <c r="E275" s="535"/>
      <c r="F275" s="535"/>
    </row>
    <row r="276" spans="2:6">
      <c r="B276" s="535"/>
      <c r="C276" s="1090"/>
      <c r="D276" s="1090"/>
      <c r="E276" s="535"/>
      <c r="F276" s="535"/>
    </row>
    <row r="277" spans="2:6">
      <c r="B277" s="535"/>
      <c r="C277" s="535"/>
      <c r="D277" s="535"/>
      <c r="E277" s="535"/>
      <c r="F277" s="535"/>
    </row>
    <row r="278" spans="2:6">
      <c r="B278" s="1083"/>
      <c r="C278" s="1090"/>
      <c r="D278" s="1090"/>
      <c r="E278" s="535"/>
      <c r="F278" s="535"/>
    </row>
    <row r="279" spans="2:6">
      <c r="B279" s="1083"/>
      <c r="C279" s="1090"/>
      <c r="D279" s="1090"/>
      <c r="E279" s="535"/>
      <c r="F279" s="535"/>
    </row>
    <row r="280" spans="2:6">
      <c r="B280" s="1083"/>
      <c r="C280" s="1090"/>
      <c r="D280" s="1090"/>
      <c r="E280" s="535"/>
      <c r="F280" s="535"/>
    </row>
    <row r="281" spans="2:6">
      <c r="B281" s="1083"/>
      <c r="C281" s="1090"/>
      <c r="D281" s="1090"/>
      <c r="E281" s="535"/>
      <c r="F281" s="535"/>
    </row>
    <row r="282" spans="2:6" ht="16.5">
      <c r="B282" s="535"/>
      <c r="C282" s="1094"/>
      <c r="D282" s="1094"/>
      <c r="E282" s="535"/>
      <c r="F282" s="535"/>
    </row>
    <row r="283" spans="2:6">
      <c r="B283" s="535"/>
      <c r="C283" s="535"/>
      <c r="D283" s="535"/>
      <c r="E283" s="535"/>
      <c r="F283" s="535"/>
    </row>
    <row r="284" spans="2:6">
      <c r="B284" s="535"/>
      <c r="C284" s="535"/>
      <c r="D284" s="535"/>
      <c r="E284" s="535"/>
      <c r="F284" s="535"/>
    </row>
    <row r="285" spans="2:6">
      <c r="B285" s="535"/>
      <c r="C285" s="535"/>
      <c r="D285" s="535"/>
      <c r="E285" s="535"/>
      <c r="F285" s="535"/>
    </row>
    <row r="286" spans="2:6">
      <c r="B286" s="535"/>
      <c r="C286" s="535"/>
      <c r="D286" s="535"/>
      <c r="E286" s="535"/>
      <c r="F286" s="535"/>
    </row>
    <row r="287" spans="2:6">
      <c r="B287" s="535"/>
      <c r="C287" s="535"/>
      <c r="D287" s="535"/>
      <c r="E287" s="535"/>
      <c r="F287" s="535"/>
    </row>
    <row r="288" spans="2:6">
      <c r="B288" s="535"/>
      <c r="C288" s="535"/>
      <c r="D288" s="535"/>
      <c r="E288" s="535"/>
      <c r="F288" s="535"/>
    </row>
    <row r="289" spans="2:6">
      <c r="B289" s="535"/>
      <c r="C289" s="535"/>
      <c r="D289" s="535"/>
      <c r="E289" s="535"/>
      <c r="F289" s="535"/>
    </row>
    <row r="290" spans="2:6">
      <c r="B290" s="535"/>
      <c r="C290" s="535"/>
      <c r="D290" s="535"/>
      <c r="E290" s="535"/>
      <c r="F290" s="535"/>
    </row>
    <row r="291" spans="2:6">
      <c r="B291" s="535"/>
      <c r="C291" s="535"/>
      <c r="D291" s="535"/>
      <c r="E291" s="535"/>
      <c r="F291" s="535"/>
    </row>
    <row r="292" spans="2:6">
      <c r="B292" s="535"/>
      <c r="C292" s="535"/>
      <c r="D292" s="535"/>
      <c r="E292" s="535"/>
      <c r="F292" s="535"/>
    </row>
    <row r="293" spans="2:6">
      <c r="B293" s="535"/>
      <c r="C293" s="535"/>
      <c r="D293" s="535"/>
      <c r="E293" s="535"/>
      <c r="F293" s="535"/>
    </row>
    <row r="294" spans="2:6">
      <c r="B294" s="535"/>
      <c r="C294" s="535"/>
      <c r="D294" s="535"/>
      <c r="E294" s="535"/>
      <c r="F294" s="535"/>
    </row>
    <row r="295" spans="2:6">
      <c r="B295" s="535"/>
      <c r="C295" s="535"/>
      <c r="D295" s="535"/>
      <c r="E295" s="535"/>
      <c r="F295" s="535"/>
    </row>
    <row r="296" spans="2:6">
      <c r="B296" s="535"/>
      <c r="C296" s="535"/>
      <c r="D296" s="535"/>
      <c r="E296" s="535"/>
      <c r="F296" s="535"/>
    </row>
    <row r="297" spans="2:6">
      <c r="B297" s="535"/>
      <c r="C297" s="535"/>
      <c r="D297" s="535"/>
      <c r="E297" s="535"/>
      <c r="F297" s="535"/>
    </row>
    <row r="298" spans="2:6">
      <c r="B298" s="535"/>
      <c r="C298" s="535"/>
      <c r="D298" s="535"/>
      <c r="E298" s="535"/>
      <c r="F298" s="535"/>
    </row>
    <row r="299" spans="2:6">
      <c r="B299" s="535"/>
      <c r="C299" s="535"/>
      <c r="D299" s="535"/>
      <c r="E299" s="535"/>
      <c r="F299" s="535"/>
    </row>
    <row r="300" spans="2:6">
      <c r="B300" s="535"/>
      <c r="C300" s="535"/>
      <c r="D300" s="535"/>
      <c r="E300" s="535"/>
      <c r="F300" s="535"/>
    </row>
    <row r="301" spans="2:6">
      <c r="B301" s="535"/>
      <c r="C301" s="535"/>
      <c r="D301" s="535"/>
      <c r="E301" s="535"/>
      <c r="F301" s="535"/>
    </row>
    <row r="302" spans="2:6">
      <c r="B302" s="535"/>
      <c r="C302" s="535"/>
      <c r="D302" s="535"/>
      <c r="E302" s="535"/>
      <c r="F302" s="535"/>
    </row>
    <row r="303" spans="2:6">
      <c r="B303" s="535"/>
      <c r="C303" s="535"/>
      <c r="D303" s="535"/>
      <c r="E303" s="535"/>
      <c r="F303" s="535"/>
    </row>
    <row r="304" spans="2:6">
      <c r="B304" s="535"/>
      <c r="C304" s="535"/>
      <c r="D304" s="535"/>
      <c r="E304" s="535"/>
      <c r="F304" s="535"/>
    </row>
    <row r="305" spans="2:6">
      <c r="B305" s="535"/>
      <c r="C305" s="535"/>
      <c r="D305" s="535"/>
      <c r="E305" s="535"/>
      <c r="F305" s="535"/>
    </row>
    <row r="306" spans="2:6">
      <c r="B306" s="535"/>
      <c r="C306" s="535"/>
      <c r="D306" s="535"/>
      <c r="E306" s="535"/>
      <c r="F306" s="535"/>
    </row>
    <row r="307" spans="2:6">
      <c r="B307" s="535"/>
      <c r="C307" s="535"/>
      <c r="D307" s="535"/>
      <c r="E307" s="535"/>
      <c r="F307" s="535"/>
    </row>
    <row r="308" spans="2:6">
      <c r="B308" s="535"/>
      <c r="C308" s="535"/>
      <c r="D308" s="535"/>
      <c r="E308" s="535"/>
      <c r="F308" s="535"/>
    </row>
    <row r="309" spans="2:6">
      <c r="B309" s="535"/>
      <c r="C309" s="535"/>
      <c r="D309" s="535"/>
      <c r="E309" s="535"/>
      <c r="F309" s="535"/>
    </row>
    <row r="310" spans="2:6">
      <c r="B310" s="535"/>
      <c r="C310" s="535"/>
      <c r="D310" s="535"/>
      <c r="E310" s="535"/>
      <c r="F310" s="535"/>
    </row>
    <row r="311" spans="2:6">
      <c r="B311" s="535"/>
      <c r="C311" s="535"/>
      <c r="D311" s="535"/>
      <c r="E311" s="535"/>
      <c r="F311" s="535"/>
    </row>
    <row r="312" spans="2:6">
      <c r="B312" s="535"/>
      <c r="C312" s="535"/>
      <c r="D312" s="535"/>
      <c r="E312" s="535"/>
      <c r="F312" s="535"/>
    </row>
    <row r="313" spans="2:6">
      <c r="B313" s="535"/>
      <c r="C313" s="535"/>
      <c r="D313" s="535"/>
      <c r="E313" s="535"/>
      <c r="F313" s="535"/>
    </row>
    <row r="314" spans="2:6">
      <c r="B314" s="535"/>
      <c r="C314" s="535"/>
      <c r="D314" s="535"/>
      <c r="E314" s="535"/>
      <c r="F314" s="535"/>
    </row>
  </sheetData>
  <mergeCells count="13">
    <mergeCell ref="A1:F1"/>
    <mergeCell ref="B3:E3"/>
    <mergeCell ref="B59:E59"/>
    <mergeCell ref="B64:E64"/>
    <mergeCell ref="B65:E65"/>
    <mergeCell ref="B66:E66"/>
    <mergeCell ref="B8:B9"/>
    <mergeCell ref="B15:B16"/>
    <mergeCell ref="C17:E17"/>
    <mergeCell ref="C19:E19"/>
    <mergeCell ref="C45:D45"/>
    <mergeCell ref="C11:E11"/>
    <mergeCell ref="C12:E12"/>
  </mergeCells>
  <pageMargins left="0.75" right="0.7" top="0.75" bottom="0.75" header="0.3" footer="0.3"/>
  <pageSetup paperSize="9" scale="90" orientation="portrait" r:id="rId1"/>
  <headerFooter>
    <oddFooter>&amp;C&amp;"Book Antiqua,Regular"&amp;12 11</oddFooter>
  </headerFooter>
</worksheet>
</file>

<file path=xl/worksheets/sheet21.xml><?xml version="1.0" encoding="utf-8"?>
<worksheet xmlns="http://schemas.openxmlformats.org/spreadsheetml/2006/main" xmlns:r="http://schemas.openxmlformats.org/officeDocument/2006/relationships">
  <sheetPr>
    <tabColor rgb="FFFF0000"/>
    <pageSetUpPr fitToPage="1"/>
  </sheetPr>
  <dimension ref="A1:E70"/>
  <sheetViews>
    <sheetView view="pageBreakPreview" zoomScaleSheetLayoutView="100" workbookViewId="0">
      <selection activeCell="E56" sqref="E56"/>
    </sheetView>
  </sheetViews>
  <sheetFormatPr defaultRowHeight="16.5"/>
  <cols>
    <col min="1" max="1" width="43.7109375" style="1361" customWidth="1"/>
    <col min="2" max="2" width="0.85546875" style="1361" customWidth="1"/>
    <col min="3" max="3" width="48.5703125" style="1361" customWidth="1"/>
    <col min="4" max="4" width="1" style="1361" customWidth="1"/>
    <col min="5" max="5" width="47.85546875" style="1361" customWidth="1"/>
    <col min="6" max="16384" width="9.140625" style="1361"/>
  </cols>
  <sheetData>
    <row r="1" spans="1:5" ht="18.75">
      <c r="A1" s="1771" t="s">
        <v>783</v>
      </c>
      <c r="B1" s="1771"/>
      <c r="C1" s="1771"/>
      <c r="D1" s="1771"/>
      <c r="E1" s="1771"/>
    </row>
    <row r="2" spans="1:5" ht="7.5" customHeight="1"/>
    <row r="3" spans="1:5">
      <c r="A3" s="1360" t="s">
        <v>646</v>
      </c>
      <c r="C3" s="1362" t="s">
        <v>782</v>
      </c>
      <c r="E3" s="1380" t="s">
        <v>785</v>
      </c>
    </row>
    <row r="4" spans="1:5">
      <c r="A4" s="1363" t="s">
        <v>648</v>
      </c>
      <c r="C4" s="1362" t="s">
        <v>642</v>
      </c>
      <c r="E4" s="1383" t="s">
        <v>794</v>
      </c>
    </row>
    <row r="5" spans="1:5">
      <c r="A5" s="1363" t="s">
        <v>650</v>
      </c>
      <c r="C5" s="1362" t="s">
        <v>644</v>
      </c>
      <c r="E5" s="1382" t="s">
        <v>780</v>
      </c>
    </row>
    <row r="6" spans="1:5">
      <c r="C6" s="1362" t="s">
        <v>647</v>
      </c>
      <c r="E6" s="1379" t="s">
        <v>747</v>
      </c>
    </row>
    <row r="7" spans="1:5">
      <c r="A7" s="1360" t="s">
        <v>655</v>
      </c>
      <c r="C7" s="1363" t="s">
        <v>649</v>
      </c>
    </row>
    <row r="8" spans="1:5">
      <c r="A8" s="1363" t="s">
        <v>658</v>
      </c>
      <c r="C8" s="1363" t="s">
        <v>651</v>
      </c>
      <c r="E8" s="1360" t="s">
        <v>643</v>
      </c>
    </row>
    <row r="9" spans="1:5" ht="16.5" customHeight="1">
      <c r="A9" s="1363" t="s">
        <v>784</v>
      </c>
      <c r="C9" s="1362" t="s">
        <v>653</v>
      </c>
      <c r="E9" s="1360" t="s">
        <v>645</v>
      </c>
    </row>
    <row r="10" spans="1:5" ht="16.5" customHeight="1">
      <c r="C10" s="1362" t="s">
        <v>656</v>
      </c>
      <c r="E10" s="1363" t="s">
        <v>652</v>
      </c>
    </row>
    <row r="11" spans="1:5" ht="18" customHeight="1">
      <c r="A11" s="1360" t="s">
        <v>664</v>
      </c>
      <c r="C11" s="1364" t="s">
        <v>659</v>
      </c>
      <c r="E11" s="1362" t="s">
        <v>654</v>
      </c>
    </row>
    <row r="12" spans="1:5">
      <c r="A12" s="1362" t="s">
        <v>788</v>
      </c>
      <c r="C12" s="1364" t="s">
        <v>661</v>
      </c>
      <c r="E12" s="1362" t="s">
        <v>657</v>
      </c>
    </row>
    <row r="13" spans="1:5">
      <c r="C13" s="1362"/>
      <c r="E13" s="1378" t="s">
        <v>660</v>
      </c>
    </row>
    <row r="14" spans="1:5">
      <c r="A14" s="1360" t="s">
        <v>670</v>
      </c>
      <c r="C14" s="1360" t="s">
        <v>665</v>
      </c>
      <c r="E14" s="1363" t="s">
        <v>662</v>
      </c>
    </row>
    <row r="15" spans="1:5">
      <c r="A15" s="1362" t="s">
        <v>672</v>
      </c>
      <c r="C15" s="1365" t="s">
        <v>666</v>
      </c>
      <c r="E15" s="1361" t="s">
        <v>663</v>
      </c>
    </row>
    <row r="16" spans="1:5">
      <c r="A16" s="1362"/>
      <c r="C16" s="1365" t="s">
        <v>668</v>
      </c>
    </row>
    <row r="17" spans="1:5">
      <c r="A17" s="1360" t="s">
        <v>675</v>
      </c>
      <c r="C17" s="1366" t="s">
        <v>671</v>
      </c>
      <c r="E17" s="1360" t="s">
        <v>667</v>
      </c>
    </row>
    <row r="18" spans="1:5">
      <c r="A18" s="1367">
        <v>11383</v>
      </c>
      <c r="C18" s="1366" t="s">
        <v>789</v>
      </c>
      <c r="E18" s="1362" t="s">
        <v>669</v>
      </c>
    </row>
    <row r="19" spans="1:5">
      <c r="C19" s="1366" t="s">
        <v>790</v>
      </c>
      <c r="E19" s="1360"/>
    </row>
    <row r="20" spans="1:5">
      <c r="A20" s="1360" t="s">
        <v>681</v>
      </c>
      <c r="C20" s="1366" t="s">
        <v>792</v>
      </c>
      <c r="E20" s="1360" t="s">
        <v>673</v>
      </c>
    </row>
    <row r="21" spans="1:5">
      <c r="A21" s="1368" t="s">
        <v>683</v>
      </c>
      <c r="C21" s="1366" t="s">
        <v>677</v>
      </c>
      <c r="E21" s="1362" t="s">
        <v>674</v>
      </c>
    </row>
    <row r="22" spans="1:5">
      <c r="A22" s="1368" t="s">
        <v>686</v>
      </c>
      <c r="C22" s="1366" t="s">
        <v>679</v>
      </c>
      <c r="E22" s="1362" t="s">
        <v>676</v>
      </c>
    </row>
    <row r="23" spans="1:5">
      <c r="A23" s="1362" t="s">
        <v>689</v>
      </c>
      <c r="C23" s="1366" t="s">
        <v>682</v>
      </c>
      <c r="E23" s="1362" t="s">
        <v>678</v>
      </c>
    </row>
    <row r="24" spans="1:5">
      <c r="A24" s="1372" t="s">
        <v>692</v>
      </c>
      <c r="C24" s="1369" t="s">
        <v>684</v>
      </c>
      <c r="E24" s="1362" t="s">
        <v>680</v>
      </c>
    </row>
    <row r="25" spans="1:5" ht="16.5" customHeight="1">
      <c r="C25" s="1369" t="s">
        <v>687</v>
      </c>
    </row>
    <row r="26" spans="1:5">
      <c r="A26" s="1368" t="s">
        <v>697</v>
      </c>
      <c r="C26" s="1369" t="s">
        <v>690</v>
      </c>
      <c r="E26" s="1370" t="s">
        <v>685</v>
      </c>
    </row>
    <row r="27" spans="1:5">
      <c r="A27" s="1373" t="s">
        <v>699</v>
      </c>
      <c r="C27" s="1366" t="s">
        <v>693</v>
      </c>
      <c r="E27" s="1371" t="s">
        <v>688</v>
      </c>
    </row>
    <row r="28" spans="1:5">
      <c r="A28" s="1373" t="s">
        <v>701</v>
      </c>
      <c r="C28" s="1366" t="s">
        <v>695</v>
      </c>
      <c r="E28" s="1371" t="s">
        <v>691</v>
      </c>
    </row>
    <row r="29" spans="1:5">
      <c r="A29" s="1373" t="s">
        <v>703</v>
      </c>
      <c r="C29" s="1369" t="s">
        <v>791</v>
      </c>
      <c r="E29" s="1362" t="s">
        <v>694</v>
      </c>
    </row>
    <row r="30" spans="1:5">
      <c r="C30" s="1369" t="s">
        <v>700</v>
      </c>
      <c r="E30" s="1362" t="s">
        <v>696</v>
      </c>
    </row>
    <row r="31" spans="1:5">
      <c r="A31" s="1360" t="s">
        <v>707</v>
      </c>
      <c r="C31" s="1369" t="s">
        <v>702</v>
      </c>
      <c r="E31" s="1362" t="s">
        <v>698</v>
      </c>
    </row>
    <row r="32" spans="1:5">
      <c r="A32" s="1360" t="s">
        <v>710</v>
      </c>
      <c r="C32" s="1366" t="s">
        <v>704</v>
      </c>
      <c r="E32" s="1362" t="s">
        <v>795</v>
      </c>
    </row>
    <row r="33" spans="1:5">
      <c r="A33" s="1362" t="s">
        <v>712</v>
      </c>
      <c r="C33" s="1366" t="s">
        <v>705</v>
      </c>
      <c r="E33" s="1362" t="s">
        <v>796</v>
      </c>
    </row>
    <row r="34" spans="1:5">
      <c r="A34" s="1362" t="s">
        <v>715</v>
      </c>
      <c r="C34" s="1366" t="s">
        <v>708</v>
      </c>
    </row>
    <row r="35" spans="1:5">
      <c r="A35" s="1362" t="s">
        <v>718</v>
      </c>
      <c r="C35" s="1366" t="s">
        <v>711</v>
      </c>
      <c r="E35" s="1360" t="s">
        <v>706</v>
      </c>
    </row>
    <row r="36" spans="1:5">
      <c r="A36" s="1362" t="s">
        <v>720</v>
      </c>
      <c r="C36" s="1366" t="s">
        <v>713</v>
      </c>
      <c r="E36" s="1362" t="s">
        <v>709</v>
      </c>
    </row>
    <row r="37" spans="1:5">
      <c r="A37" s="1362" t="s">
        <v>723</v>
      </c>
      <c r="C37" s="1366" t="s">
        <v>716</v>
      </c>
      <c r="E37" s="1360"/>
    </row>
    <row r="38" spans="1:5">
      <c r="A38" s="1375" t="s">
        <v>726</v>
      </c>
      <c r="C38" s="1366" t="s">
        <v>719</v>
      </c>
      <c r="E38" s="1360" t="s">
        <v>714</v>
      </c>
    </row>
    <row r="39" spans="1:5">
      <c r="A39" s="1375" t="s">
        <v>728</v>
      </c>
      <c r="C39" s="1366" t="s">
        <v>721</v>
      </c>
      <c r="E39" s="1362" t="s">
        <v>717</v>
      </c>
    </row>
    <row r="40" spans="1:5" ht="15" customHeight="1">
      <c r="C40" s="1374" t="s">
        <v>724</v>
      </c>
    </row>
    <row r="41" spans="1:5">
      <c r="A41" s="1360" t="s">
        <v>732</v>
      </c>
      <c r="E41" s="1360" t="s">
        <v>722</v>
      </c>
    </row>
    <row r="42" spans="1:5">
      <c r="A42" s="1362" t="s">
        <v>734</v>
      </c>
      <c r="C42" s="1360" t="s">
        <v>729</v>
      </c>
      <c r="E42" s="1362" t="s">
        <v>725</v>
      </c>
    </row>
    <row r="43" spans="1:5">
      <c r="A43" s="1360"/>
      <c r="C43" s="1360" t="s">
        <v>730</v>
      </c>
      <c r="E43" s="1361" t="s">
        <v>727</v>
      </c>
    </row>
    <row r="44" spans="1:5">
      <c r="A44" s="1360" t="s">
        <v>739</v>
      </c>
    </row>
    <row r="45" spans="1:5">
      <c r="A45" s="1362" t="s">
        <v>742</v>
      </c>
      <c r="C45" s="1360" t="s">
        <v>735</v>
      </c>
      <c r="E45" s="1360" t="s">
        <v>731</v>
      </c>
    </row>
    <row r="46" spans="1:5">
      <c r="A46" s="1362" t="s">
        <v>744</v>
      </c>
      <c r="C46" s="1377" t="s">
        <v>737</v>
      </c>
      <c r="E46" s="1362" t="s">
        <v>733</v>
      </c>
    </row>
    <row r="47" spans="1:5">
      <c r="A47" s="1362" t="s">
        <v>746</v>
      </c>
      <c r="C47" s="1377" t="s">
        <v>740</v>
      </c>
      <c r="E47" s="1376" t="s">
        <v>736</v>
      </c>
    </row>
    <row r="48" spans="1:5">
      <c r="A48" s="1362" t="s">
        <v>748</v>
      </c>
      <c r="C48" s="1377" t="s">
        <v>743</v>
      </c>
      <c r="E48" s="1361" t="s">
        <v>738</v>
      </c>
    </row>
    <row r="49" spans="1:5">
      <c r="A49" s="1362" t="s">
        <v>750</v>
      </c>
      <c r="C49" s="1379" t="s">
        <v>747</v>
      </c>
      <c r="E49" s="1378" t="s">
        <v>741</v>
      </c>
    </row>
    <row r="50" spans="1:5">
      <c r="A50" s="1375" t="s">
        <v>753</v>
      </c>
      <c r="C50" s="1361" t="s">
        <v>786</v>
      </c>
    </row>
    <row r="51" spans="1:5">
      <c r="C51" s="1361" t="s">
        <v>787</v>
      </c>
      <c r="E51" s="1360" t="s">
        <v>745</v>
      </c>
    </row>
    <row r="52" spans="1:5">
      <c r="A52" s="1360" t="s">
        <v>755</v>
      </c>
      <c r="E52" s="1362" t="s">
        <v>799</v>
      </c>
    </row>
    <row r="53" spans="1:5">
      <c r="A53" s="1362" t="s">
        <v>757</v>
      </c>
      <c r="C53" s="1360" t="s">
        <v>751</v>
      </c>
      <c r="E53" s="1361" t="s">
        <v>749</v>
      </c>
    </row>
    <row r="54" spans="1:5">
      <c r="A54" s="1362" t="s">
        <v>760</v>
      </c>
      <c r="C54" s="1380" t="s">
        <v>754</v>
      </c>
      <c r="E54" s="1362" t="s">
        <v>752</v>
      </c>
    </row>
    <row r="55" spans="1:5">
      <c r="A55" s="1362" t="s">
        <v>763</v>
      </c>
      <c r="C55" s="1377" t="s">
        <v>793</v>
      </c>
      <c r="E55" s="1361" t="s">
        <v>797</v>
      </c>
    </row>
    <row r="56" spans="1:5">
      <c r="A56" s="1362" t="s">
        <v>765</v>
      </c>
      <c r="C56" s="1377" t="s">
        <v>743</v>
      </c>
      <c r="E56" s="1361" t="s">
        <v>798</v>
      </c>
    </row>
    <row r="57" spans="1:5">
      <c r="A57" s="1362" t="s">
        <v>766</v>
      </c>
      <c r="C57" s="1377" t="s">
        <v>758</v>
      </c>
    </row>
    <row r="58" spans="1:5">
      <c r="A58" s="1362" t="s">
        <v>768</v>
      </c>
      <c r="C58" s="1377" t="s">
        <v>761</v>
      </c>
      <c r="E58" s="1360" t="s">
        <v>756</v>
      </c>
    </row>
    <row r="59" spans="1:5">
      <c r="C59" s="1379" t="s">
        <v>764</v>
      </c>
      <c r="E59" s="1381" t="s">
        <v>759</v>
      </c>
    </row>
    <row r="60" spans="1:5">
      <c r="A60" s="1360" t="s">
        <v>770</v>
      </c>
      <c r="E60" s="1362" t="s">
        <v>762</v>
      </c>
    </row>
    <row r="61" spans="1:5">
      <c r="A61" s="1362" t="s">
        <v>771</v>
      </c>
      <c r="C61" s="1380" t="s">
        <v>767</v>
      </c>
      <c r="E61" s="1362" t="s">
        <v>648</v>
      </c>
    </row>
    <row r="62" spans="1:5">
      <c r="A62" s="1362" t="s">
        <v>772</v>
      </c>
      <c r="C62" s="1382" t="s">
        <v>769</v>
      </c>
      <c r="E62" s="1362" t="s">
        <v>712</v>
      </c>
    </row>
    <row r="63" spans="1:5">
      <c r="A63" s="1362" t="s">
        <v>774</v>
      </c>
      <c r="C63" s="1383" t="s">
        <v>747</v>
      </c>
      <c r="E63" s="1362" t="s">
        <v>715</v>
      </c>
    </row>
    <row r="64" spans="1:5">
      <c r="A64" s="1362" t="s">
        <v>775</v>
      </c>
      <c r="C64" s="1384" t="s">
        <v>786</v>
      </c>
      <c r="E64" s="1362" t="s">
        <v>718</v>
      </c>
    </row>
    <row r="65" spans="1:5">
      <c r="A65" s="1362" t="s">
        <v>776</v>
      </c>
      <c r="C65" s="1385"/>
      <c r="E65" s="1362" t="s">
        <v>720</v>
      </c>
    </row>
    <row r="66" spans="1:5">
      <c r="A66" s="1362" t="s">
        <v>777</v>
      </c>
      <c r="C66" s="1386" t="s">
        <v>773</v>
      </c>
      <c r="E66" s="1362" t="s">
        <v>723</v>
      </c>
    </row>
    <row r="67" spans="1:5">
      <c r="A67" s="1362" t="s">
        <v>514</v>
      </c>
      <c r="C67" s="1383" t="s">
        <v>769</v>
      </c>
    </row>
    <row r="68" spans="1:5">
      <c r="A68" s="1362" t="s">
        <v>778</v>
      </c>
      <c r="C68" s="1384" t="s">
        <v>747</v>
      </c>
    </row>
    <row r="69" spans="1:5">
      <c r="A69" s="1362" t="s">
        <v>779</v>
      </c>
      <c r="C69" s="1377" t="s">
        <v>786</v>
      </c>
    </row>
    <row r="70" spans="1:5">
      <c r="A70" s="1361" t="s">
        <v>781</v>
      </c>
    </row>
  </sheetData>
  <mergeCells count="1">
    <mergeCell ref="A1:E1"/>
  </mergeCells>
  <hyperlinks>
    <hyperlink ref="A38" r:id="rId1" display="mailto:plclease@plc.lk"/>
    <hyperlink ref="A39" r:id="rId2" display="http://www.plc.lk/"/>
    <hyperlink ref="A50" r:id="rId3" display="mailto:sspsec@sltnet.lk"/>
  </hyperlinks>
  <pageMargins left="0.45" right="0.2" top="0.5" bottom="0.25" header="0.3" footer="0.3"/>
  <pageSetup paperSize="9" scale="69" orientation="portrait" r:id="rId4"/>
</worksheet>
</file>

<file path=xl/worksheets/sheet22.xml><?xml version="1.0" encoding="utf-8"?>
<worksheet xmlns="http://schemas.openxmlformats.org/spreadsheetml/2006/main" xmlns:r="http://schemas.openxmlformats.org/officeDocument/2006/relationships">
  <sheetPr>
    <tabColor rgb="FFFF0000"/>
    <pageSetUpPr fitToPage="1"/>
  </sheetPr>
  <dimension ref="A1"/>
  <sheetViews>
    <sheetView view="pageBreakPreview" zoomScale="60" zoomScaleNormal="64" workbookViewId="0">
      <selection activeCell="R48" sqref="R48"/>
    </sheetView>
  </sheetViews>
  <sheetFormatPr defaultRowHeight="15"/>
  <cols>
    <col min="1" max="11" width="9.140625" style="449"/>
    <col min="12" max="12" width="10" style="449" customWidth="1"/>
    <col min="13" max="16384" width="9.140625" style="449"/>
  </cols>
  <sheetData/>
  <pageMargins left="0.15" right="0" top="0" bottom="0" header="0" footer="0"/>
  <pageSetup paperSize="9" scale="95" orientation="portrait" r:id="rId1"/>
  <drawing r:id="rId2"/>
</worksheet>
</file>

<file path=xl/worksheets/sheet23.xml><?xml version="1.0" encoding="utf-8"?>
<worksheet xmlns="http://schemas.openxmlformats.org/spreadsheetml/2006/main" xmlns:r="http://schemas.openxmlformats.org/officeDocument/2006/relationships">
  <sheetPr>
    <tabColor rgb="FFFF0000"/>
  </sheetPr>
  <dimension ref="B1:U86"/>
  <sheetViews>
    <sheetView tabSelected="1" view="pageBreakPreview" zoomScale="90" zoomScaleNormal="70" zoomScaleSheetLayoutView="90" workbookViewId="0">
      <pane xSplit="1" ySplit="1" topLeftCell="B53" activePane="bottomRight" state="frozen"/>
      <selection activeCell="A15" sqref="A15"/>
      <selection pane="topRight" activeCell="A15" sqref="A15"/>
      <selection pane="bottomLeft" activeCell="A15" sqref="A15"/>
      <selection pane="bottomRight" activeCell="C61" sqref="C61:S78"/>
    </sheetView>
  </sheetViews>
  <sheetFormatPr defaultColWidth="19.7109375" defaultRowHeight="15.75"/>
  <cols>
    <col min="1" max="1" width="6.28515625" style="466" customWidth="1"/>
    <col min="2" max="2" width="2.7109375" style="466" customWidth="1"/>
    <col min="3" max="3" width="19.7109375" style="462"/>
    <col min="4" max="4" width="30.7109375" style="463" customWidth="1"/>
    <col min="5" max="5" width="14.140625" style="464" customWidth="1"/>
    <col min="6" max="6" width="0.85546875" style="464" customWidth="1"/>
    <col min="7" max="7" width="14.140625" style="464" customWidth="1"/>
    <col min="8" max="8" width="0.85546875" style="464" customWidth="1"/>
    <col min="9" max="9" width="10.5703125" style="464" bestFit="1" customWidth="1"/>
    <col min="10" max="10" width="0.85546875" style="464" customWidth="1"/>
    <col min="11" max="11" width="14.140625" style="464" customWidth="1"/>
    <col min="12" max="12" width="0.85546875" style="464" customWidth="1"/>
    <col min="13" max="13" width="14.140625" style="462" customWidth="1"/>
    <col min="14" max="14" width="0.85546875" style="462" customWidth="1"/>
    <col min="15" max="15" width="14.140625" style="462" customWidth="1"/>
    <col min="16" max="16" width="0.85546875" style="462" customWidth="1"/>
    <col min="17" max="17" width="10" style="462" customWidth="1"/>
    <col min="18" max="18" width="0.85546875" style="462" customWidth="1"/>
    <col min="19" max="19" width="14.140625" style="462" customWidth="1"/>
    <col min="20" max="20" width="0.85546875" style="462" customWidth="1"/>
    <col min="21" max="16384" width="19.7109375" style="466"/>
  </cols>
  <sheetData>
    <row r="1" spans="2:20">
      <c r="E1" s="464">
        <f>E30-E53</f>
        <v>0</v>
      </c>
      <c r="G1" s="464">
        <f>G30-G53</f>
        <v>0</v>
      </c>
      <c r="K1" s="464">
        <f>K30-K53</f>
        <v>0</v>
      </c>
      <c r="M1" s="464">
        <f>M30-M53</f>
        <v>0</v>
      </c>
      <c r="O1" s="464">
        <f>O30-O53</f>
        <v>0</v>
      </c>
      <c r="S1" s="464">
        <f>S30-S53</f>
        <v>0</v>
      </c>
    </row>
    <row r="2" spans="2:20" ht="22.5" customHeight="1">
      <c r="B2" s="1711" t="s">
        <v>978</v>
      </c>
      <c r="C2" s="1711"/>
      <c r="D2" s="1711"/>
      <c r="E2" s="1711"/>
      <c r="F2" s="1711"/>
      <c r="G2" s="1711"/>
      <c r="H2" s="1711"/>
      <c r="I2" s="1711"/>
      <c r="J2" s="1711"/>
      <c r="K2" s="1711"/>
      <c r="L2" s="1711"/>
      <c r="M2" s="1711"/>
      <c r="N2" s="1711"/>
      <c r="O2" s="1711"/>
      <c r="P2" s="1711"/>
      <c r="Q2" s="1711"/>
      <c r="R2" s="1711"/>
      <c r="S2" s="1711"/>
      <c r="T2" s="1711"/>
    </row>
    <row r="3" spans="2:20" ht="7.5" customHeight="1" thickBot="1">
      <c r="C3" s="469"/>
      <c r="D3" s="470"/>
      <c r="E3" s="470"/>
      <c r="F3" s="470"/>
      <c r="G3" s="470"/>
      <c r="H3" s="470"/>
      <c r="I3" s="470"/>
      <c r="J3" s="470"/>
      <c r="K3" s="470"/>
      <c r="L3" s="470"/>
      <c r="M3" s="470"/>
      <c r="N3" s="470"/>
      <c r="O3" s="470"/>
      <c r="P3" s="470"/>
      <c r="Q3" s="470"/>
      <c r="R3" s="470"/>
      <c r="S3" s="470"/>
      <c r="T3" s="470"/>
    </row>
    <row r="4" spans="2:20" ht="9" customHeight="1">
      <c r="B4" s="515"/>
      <c r="C4" s="516"/>
      <c r="D4" s="517"/>
      <c r="E4" s="518"/>
      <c r="F4" s="518"/>
      <c r="G4" s="518"/>
      <c r="H4" s="518"/>
      <c r="I4" s="518"/>
      <c r="J4" s="518"/>
      <c r="K4" s="518"/>
      <c r="L4" s="518"/>
      <c r="M4" s="516"/>
      <c r="N4" s="516"/>
      <c r="O4" s="516"/>
      <c r="P4" s="516"/>
      <c r="Q4" s="516"/>
      <c r="R4" s="516"/>
      <c r="S4" s="516"/>
      <c r="T4" s="519"/>
    </row>
    <row r="5" spans="2:20" ht="15.75" customHeight="1" thickBot="1">
      <c r="B5" s="520"/>
      <c r="C5" s="473"/>
      <c r="D5" s="474"/>
      <c r="E5" s="1706" t="s">
        <v>77</v>
      </c>
      <c r="F5" s="1706"/>
      <c r="G5" s="1706"/>
      <c r="H5" s="1706"/>
      <c r="I5" s="1707"/>
      <c r="J5" s="1707"/>
      <c r="K5" s="1707"/>
      <c r="L5" s="1405"/>
      <c r="M5" s="1708" t="s">
        <v>78</v>
      </c>
      <c r="N5" s="1708"/>
      <c r="O5" s="1708"/>
      <c r="P5" s="1708"/>
      <c r="Q5" s="1708"/>
      <c r="R5" s="1708"/>
      <c r="S5" s="1708"/>
      <c r="T5" s="521"/>
    </row>
    <row r="6" spans="2:20" ht="15.75" customHeight="1">
      <c r="B6" s="520"/>
      <c r="C6" s="473" t="s">
        <v>420</v>
      </c>
      <c r="D6" s="474"/>
      <c r="E6" s="542" t="s">
        <v>887</v>
      </c>
      <c r="F6" s="1405"/>
      <c r="G6" s="1486" t="s">
        <v>878</v>
      </c>
      <c r="H6" s="1405"/>
      <c r="I6" s="1405" t="s">
        <v>391</v>
      </c>
      <c r="K6" s="1492" t="s">
        <v>888</v>
      </c>
      <c r="L6" s="1405"/>
      <c r="M6" s="542" t="str">
        <f>E6</f>
        <v>30.09.2020</v>
      </c>
      <c r="N6" s="1405"/>
      <c r="O6" s="1405" t="str">
        <f>G6</f>
        <v>30.09.2019</v>
      </c>
      <c r="P6" s="1405"/>
      <c r="Q6" s="1405" t="s">
        <v>391</v>
      </c>
      <c r="S6" s="1487" t="str">
        <f>K6</f>
        <v>31.03.2020</v>
      </c>
      <c r="T6" s="522"/>
    </row>
    <row r="7" spans="2:20" ht="15.75" customHeight="1">
      <c r="B7" s="520"/>
      <c r="C7" s="1498"/>
      <c r="D7" s="1406"/>
      <c r="E7" s="543" t="s">
        <v>812</v>
      </c>
      <c r="F7" s="1405"/>
      <c r="G7" s="1405" t="s">
        <v>812</v>
      </c>
      <c r="H7" s="1405"/>
      <c r="I7" s="1405" t="s">
        <v>28</v>
      </c>
      <c r="K7" s="1405" t="s">
        <v>812</v>
      </c>
      <c r="L7" s="1405"/>
      <c r="M7" s="543" t="s">
        <v>812</v>
      </c>
      <c r="N7" s="1405"/>
      <c r="O7" s="1405" t="s">
        <v>812</v>
      </c>
      <c r="P7" s="1405"/>
      <c r="Q7" s="1405" t="s">
        <v>28</v>
      </c>
      <c r="S7" s="1405" t="s">
        <v>812</v>
      </c>
      <c r="T7" s="522"/>
    </row>
    <row r="8" spans="2:20" ht="15.75" customHeight="1">
      <c r="B8" s="520"/>
      <c r="C8" s="473"/>
      <c r="D8" s="1488"/>
      <c r="E8" s="543"/>
      <c r="F8" s="1487"/>
      <c r="G8" s="1487" t="s">
        <v>451</v>
      </c>
      <c r="H8" s="1487"/>
      <c r="I8" s="1487"/>
      <c r="K8" s="1487"/>
      <c r="L8" s="1487"/>
      <c r="M8" s="543"/>
      <c r="N8" s="1487"/>
      <c r="O8" s="1487" t="str">
        <f>G8</f>
        <v>Restated</v>
      </c>
      <c r="P8" s="1487"/>
      <c r="Q8" s="1487"/>
      <c r="S8" s="1487"/>
      <c r="T8" s="522"/>
    </row>
    <row r="9" spans="2:20" ht="15.75" customHeight="1" thickBot="1">
      <c r="B9" s="520"/>
      <c r="C9" s="477"/>
      <c r="D9" s="478"/>
      <c r="E9" s="544" t="s">
        <v>148</v>
      </c>
      <c r="F9" s="479"/>
      <c r="G9" s="479" t="s">
        <v>148</v>
      </c>
      <c r="H9" s="479"/>
      <c r="I9" s="479"/>
      <c r="K9" s="479" t="s">
        <v>163</v>
      </c>
      <c r="L9" s="479"/>
      <c r="M9" s="544" t="s">
        <v>148</v>
      </c>
      <c r="N9" s="479"/>
      <c r="O9" s="479" t="s">
        <v>148</v>
      </c>
      <c r="P9" s="479"/>
      <c r="Q9" s="479"/>
      <c r="S9" s="479" t="s">
        <v>163</v>
      </c>
      <c r="T9" s="522"/>
    </row>
    <row r="10" spans="2:20" ht="15.75" customHeight="1">
      <c r="B10" s="525"/>
      <c r="C10" s="501" t="s">
        <v>95</v>
      </c>
      <c r="D10" s="502"/>
      <c r="E10" s="545"/>
      <c r="F10" s="503"/>
      <c r="G10" s="503"/>
      <c r="H10" s="503"/>
      <c r="I10" s="503"/>
      <c r="J10" s="503"/>
      <c r="K10" s="503"/>
      <c r="L10" s="503"/>
      <c r="M10" s="545"/>
      <c r="N10" s="503"/>
      <c r="O10" s="503"/>
      <c r="P10" s="503"/>
      <c r="Q10" s="503"/>
      <c r="R10" s="503"/>
      <c r="S10" s="503"/>
      <c r="T10" s="523"/>
    </row>
    <row r="11" spans="2:20" s="481" customFormat="1" ht="18.75" customHeight="1">
      <c r="B11" s="525"/>
      <c r="C11" s="504" t="s">
        <v>436</v>
      </c>
      <c r="D11" s="505"/>
      <c r="E11" s="1421">
        <v>4186405</v>
      </c>
      <c r="F11" s="506"/>
      <c r="G11" s="506">
        <v>2359330</v>
      </c>
      <c r="H11" s="506"/>
      <c r="I11" s="507">
        <f>(E11/G11-1)*100</f>
        <v>77.440417406636627</v>
      </c>
      <c r="J11" s="506"/>
      <c r="K11" s="506">
        <v>7164139</v>
      </c>
      <c r="L11" s="506"/>
      <c r="M11" s="1427">
        <v>4304680</v>
      </c>
      <c r="N11" s="506"/>
      <c r="O11" s="506">
        <v>2670498</v>
      </c>
      <c r="P11" s="506"/>
      <c r="Q11" s="507">
        <f>(M11/O11-1)*100</f>
        <v>61.193904657483358</v>
      </c>
      <c r="R11" s="506"/>
      <c r="S11" s="506">
        <v>7693032</v>
      </c>
      <c r="T11" s="524"/>
    </row>
    <row r="12" spans="2:20" s="481" customFormat="1">
      <c r="B12" s="525"/>
      <c r="C12" s="504" t="s">
        <v>847</v>
      </c>
      <c r="D12" s="505"/>
      <c r="E12" s="1421">
        <v>6533991</v>
      </c>
      <c r="F12" s="506"/>
      <c r="G12" s="506">
        <v>3583329</v>
      </c>
      <c r="H12" s="506"/>
      <c r="I12" s="507">
        <f>(E12/G12-1)*100</f>
        <v>82.344155392932095</v>
      </c>
      <c r="J12" s="506"/>
      <c r="K12" s="506">
        <v>3207440</v>
      </c>
      <c r="L12" s="506"/>
      <c r="M12" s="1427">
        <v>10407520</v>
      </c>
      <c r="N12" s="506"/>
      <c r="O12" s="506">
        <v>7136355</v>
      </c>
      <c r="P12" s="506"/>
      <c r="Q12" s="507">
        <f>(M12/O12-1)*100</f>
        <v>45.838036364502614</v>
      </c>
      <c r="R12" s="506"/>
      <c r="S12" s="506">
        <v>6661407</v>
      </c>
      <c r="T12" s="524"/>
    </row>
    <row r="13" spans="2:20" hidden="1">
      <c r="B13" s="525"/>
      <c r="C13" s="504" t="s">
        <v>438</v>
      </c>
      <c r="D13" s="505"/>
      <c r="E13" s="1421">
        <v>0</v>
      </c>
      <c r="F13" s="506"/>
      <c r="G13" s="506">
        <v>0</v>
      </c>
      <c r="H13" s="506"/>
      <c r="I13" s="507" t="e">
        <f t="shared" ref="I13:I14" si="0">(E13/G13-1)*100</f>
        <v>#DIV/0!</v>
      </c>
      <c r="J13" s="506"/>
      <c r="K13" s="506">
        <v>0</v>
      </c>
      <c r="L13" s="506"/>
      <c r="M13" s="1427">
        <v>0</v>
      </c>
      <c r="N13" s="506"/>
      <c r="O13" s="506">
        <v>0</v>
      </c>
      <c r="P13" s="506"/>
      <c r="Q13" s="507" t="e">
        <f t="shared" ref="Q13:Q16" si="1">(M13/O13-1)*100</f>
        <v>#DIV/0!</v>
      </c>
      <c r="R13" s="506"/>
      <c r="S13" s="506">
        <v>0</v>
      </c>
      <c r="T13" s="524"/>
    </row>
    <row r="14" spans="2:20" ht="17.25" customHeight="1">
      <c r="B14" s="520"/>
      <c r="C14" s="504" t="s">
        <v>893</v>
      </c>
      <c r="D14" s="504"/>
      <c r="E14" s="1421">
        <v>2994347</v>
      </c>
      <c r="F14" s="506"/>
      <c r="G14" s="506">
        <v>16684</v>
      </c>
      <c r="H14" s="506"/>
      <c r="I14" s="507">
        <f t="shared" si="0"/>
        <v>17847.416686645887</v>
      </c>
      <c r="J14" s="506"/>
      <c r="K14" s="506">
        <v>1031719</v>
      </c>
      <c r="L14" s="506"/>
      <c r="M14" s="1427">
        <v>3614308</v>
      </c>
      <c r="N14" s="506"/>
      <c r="O14" s="506">
        <v>548480</v>
      </c>
      <c r="P14" s="506"/>
      <c r="Q14" s="507">
        <f t="shared" si="1"/>
        <v>558.968057176196</v>
      </c>
      <c r="R14" s="506"/>
      <c r="S14" s="506">
        <v>1198592</v>
      </c>
      <c r="T14" s="524"/>
    </row>
    <row r="15" spans="2:20">
      <c r="B15" s="520"/>
      <c r="C15" s="504" t="s">
        <v>808</v>
      </c>
      <c r="D15" s="505"/>
      <c r="E15" s="1421">
        <v>78777427</v>
      </c>
      <c r="F15" s="506"/>
      <c r="G15" s="506">
        <v>83842404</v>
      </c>
      <c r="H15" s="506"/>
      <c r="I15" s="507">
        <f>(E15/G15-1)*100</f>
        <v>-6.0410684311962282</v>
      </c>
      <c r="J15" s="506"/>
      <c r="K15" s="506">
        <v>82401998</v>
      </c>
      <c r="L15" s="506"/>
      <c r="M15" s="1427">
        <v>78777427</v>
      </c>
      <c r="N15" s="506"/>
      <c r="O15" s="506">
        <v>83842404</v>
      </c>
      <c r="P15" s="506"/>
      <c r="Q15" s="507">
        <f t="shared" si="1"/>
        <v>-6.0410684311962282</v>
      </c>
      <c r="R15" s="506"/>
      <c r="S15" s="506">
        <v>82401998</v>
      </c>
      <c r="T15" s="524"/>
    </row>
    <row r="16" spans="2:20">
      <c r="B16" s="520"/>
      <c r="C16" s="504" t="s">
        <v>809</v>
      </c>
      <c r="D16" s="505"/>
      <c r="E16" s="1421">
        <v>80930</v>
      </c>
      <c r="F16" s="506">
        <v>0</v>
      </c>
      <c r="G16" s="506">
        <v>362033</v>
      </c>
      <c r="H16" s="506"/>
      <c r="I16" s="507">
        <f t="shared" ref="I16:I17" si="2">(E16/G16-1)*100</f>
        <v>-77.645684233205259</v>
      </c>
      <c r="J16" s="506"/>
      <c r="K16" s="506">
        <v>218213</v>
      </c>
      <c r="L16" s="506"/>
      <c r="M16" s="1427">
        <v>2445215</v>
      </c>
      <c r="N16" s="506">
        <v>0</v>
      </c>
      <c r="O16" s="506">
        <v>2565963</v>
      </c>
      <c r="P16" s="506"/>
      <c r="Q16" s="507">
        <f t="shared" si="1"/>
        <v>-4.7057576434266561</v>
      </c>
      <c r="R16" s="506"/>
      <c r="S16" s="506">
        <v>2953172</v>
      </c>
      <c r="T16" s="524"/>
    </row>
    <row r="17" spans="2:20">
      <c r="B17" s="520"/>
      <c r="C17" s="504" t="s">
        <v>810</v>
      </c>
      <c r="D17" s="505"/>
      <c r="E17" s="1421">
        <v>61556572</v>
      </c>
      <c r="F17" s="506"/>
      <c r="G17" s="506">
        <v>64271737</v>
      </c>
      <c r="H17" s="506"/>
      <c r="I17" s="507">
        <f t="shared" si="2"/>
        <v>-4.2245085114161469</v>
      </c>
      <c r="J17" s="506"/>
      <c r="K17" s="506">
        <v>65127300</v>
      </c>
      <c r="L17" s="506"/>
      <c r="M17" s="1427">
        <v>66129406</v>
      </c>
      <c r="N17" s="506"/>
      <c r="O17" s="506">
        <v>68069140</v>
      </c>
      <c r="P17" s="506"/>
      <c r="Q17" s="507">
        <f t="shared" ref="Q17:Q28" si="3">(M17/O17-1)*100</f>
        <v>-2.84965257383889</v>
      </c>
      <c r="R17" s="506"/>
      <c r="S17" s="506">
        <v>68779764</v>
      </c>
      <c r="T17" s="524"/>
    </row>
    <row r="18" spans="2:20">
      <c r="B18" s="520"/>
      <c r="C18" s="504" t="s">
        <v>439</v>
      </c>
      <c r="D18" s="505"/>
      <c r="E18" s="1421">
        <v>0</v>
      </c>
      <c r="F18" s="506"/>
      <c r="G18" s="506">
        <v>0</v>
      </c>
      <c r="H18" s="506"/>
      <c r="I18" s="507">
        <v>0</v>
      </c>
      <c r="J18" s="506"/>
      <c r="K18" s="506">
        <v>0</v>
      </c>
      <c r="L18" s="506"/>
      <c r="M18" s="1427">
        <v>847845</v>
      </c>
      <c r="N18" s="506"/>
      <c r="O18" s="506">
        <v>1068712</v>
      </c>
      <c r="P18" s="506"/>
      <c r="Q18" s="507">
        <f t="shared" si="3"/>
        <v>-20.666652942981834</v>
      </c>
      <c r="R18" s="506"/>
      <c r="S18" s="506">
        <v>1194933</v>
      </c>
      <c r="T18" s="524"/>
    </row>
    <row r="19" spans="2:20" ht="33" customHeight="1">
      <c r="B19" s="520"/>
      <c r="C19" s="1775" t="s">
        <v>892</v>
      </c>
      <c r="D19" s="1776"/>
      <c r="E19" s="1421">
        <v>375066</v>
      </c>
      <c r="F19" s="506"/>
      <c r="G19" s="506">
        <v>375593</v>
      </c>
      <c r="H19" s="506"/>
      <c r="I19" s="507">
        <f>(E19/G19-1)*100</f>
        <v>-0.14031145415382973</v>
      </c>
      <c r="J19" s="506"/>
      <c r="K19" s="506">
        <v>324381</v>
      </c>
      <c r="L19" s="506"/>
      <c r="M19" s="1427">
        <v>993081</v>
      </c>
      <c r="N19" s="506"/>
      <c r="O19" s="506">
        <v>1816354</v>
      </c>
      <c r="P19" s="506"/>
      <c r="Q19" s="507">
        <f t="shared" si="3"/>
        <v>-45.325580806384657</v>
      </c>
      <c r="R19" s="506"/>
      <c r="S19" s="506">
        <v>1455702</v>
      </c>
      <c r="T19" s="524"/>
    </row>
    <row r="20" spans="2:20" ht="15" customHeight="1">
      <c r="B20" s="520"/>
      <c r="C20" s="504" t="s">
        <v>891</v>
      </c>
      <c r="D20" s="505"/>
      <c r="E20" s="1421">
        <v>8208200</v>
      </c>
      <c r="F20" s="506"/>
      <c r="G20" s="506">
        <v>8370290</v>
      </c>
      <c r="H20" s="506"/>
      <c r="I20" s="507">
        <f>(E20/G20-1)*100</f>
        <v>-1.9364920450784862</v>
      </c>
      <c r="J20" s="506"/>
      <c r="K20" s="506">
        <v>4106963</v>
      </c>
      <c r="L20" s="506"/>
      <c r="M20" s="1427">
        <v>8880135</v>
      </c>
      <c r="N20" s="506"/>
      <c r="O20" s="506">
        <v>8370290</v>
      </c>
      <c r="P20" s="506"/>
      <c r="Q20" s="507">
        <f t="shared" si="3"/>
        <v>6.0911270696714315</v>
      </c>
      <c r="R20" s="506"/>
      <c r="S20" s="506">
        <v>4813439</v>
      </c>
      <c r="T20" s="524"/>
    </row>
    <row r="21" spans="2:20" ht="18" customHeight="1">
      <c r="B21" s="520"/>
      <c r="C21" s="504" t="s">
        <v>867</v>
      </c>
      <c r="D21" s="505"/>
      <c r="E21" s="1421">
        <v>68680</v>
      </c>
      <c r="F21" s="506"/>
      <c r="G21" s="506">
        <v>0</v>
      </c>
      <c r="H21" s="506"/>
      <c r="I21" s="507">
        <v>100</v>
      </c>
      <c r="J21" s="506"/>
      <c r="K21" s="506">
        <v>0</v>
      </c>
      <c r="L21" s="506"/>
      <c r="M21" s="1427">
        <v>68680</v>
      </c>
      <c r="N21" s="506"/>
      <c r="O21" s="506">
        <v>0</v>
      </c>
      <c r="P21" s="506"/>
      <c r="Q21" s="507">
        <v>100</v>
      </c>
      <c r="R21" s="506"/>
      <c r="S21" s="506">
        <v>0</v>
      </c>
      <c r="T21" s="524"/>
    </row>
    <row r="22" spans="2:20" s="462" customFormat="1">
      <c r="B22" s="525"/>
      <c r="C22" s="504" t="s">
        <v>98</v>
      </c>
      <c r="D22" s="505"/>
      <c r="E22" s="1421">
        <v>3213788</v>
      </c>
      <c r="F22" s="506"/>
      <c r="G22" s="506">
        <v>3213788</v>
      </c>
      <c r="H22" s="506"/>
      <c r="I22" s="507">
        <f>(E22/G22-1)*100</f>
        <v>0</v>
      </c>
      <c r="J22" s="506"/>
      <c r="K22" s="506">
        <v>3213788</v>
      </c>
      <c r="L22" s="506"/>
      <c r="M22" s="1427">
        <v>0</v>
      </c>
      <c r="N22" s="508"/>
      <c r="O22" s="506">
        <v>0</v>
      </c>
      <c r="P22" s="509"/>
      <c r="Q22" s="507">
        <v>0</v>
      </c>
      <c r="R22" s="506"/>
      <c r="S22" s="508">
        <v>0</v>
      </c>
      <c r="T22" s="524"/>
    </row>
    <row r="23" spans="2:20" hidden="1">
      <c r="B23" s="520"/>
      <c r="C23" s="504" t="s">
        <v>855</v>
      </c>
      <c r="D23" s="505"/>
      <c r="E23" s="1421">
        <v>0</v>
      </c>
      <c r="F23" s="506"/>
      <c r="G23" s="506">
        <v>0</v>
      </c>
      <c r="H23" s="506"/>
      <c r="I23" s="507">
        <v>0</v>
      </c>
      <c r="J23" s="506"/>
      <c r="K23" s="506">
        <v>0</v>
      </c>
      <c r="L23" s="506"/>
      <c r="M23" s="1427">
        <v>0</v>
      </c>
      <c r="N23" s="506"/>
      <c r="O23" s="506">
        <v>0</v>
      </c>
      <c r="P23" s="506"/>
      <c r="Q23" s="507">
        <v>0</v>
      </c>
      <c r="R23" s="506"/>
      <c r="S23" s="506">
        <v>0</v>
      </c>
      <c r="T23" s="524"/>
    </row>
    <row r="24" spans="2:20">
      <c r="B24" s="520"/>
      <c r="C24" s="504" t="s">
        <v>179</v>
      </c>
      <c r="D24" s="505"/>
      <c r="E24" s="1421">
        <v>0</v>
      </c>
      <c r="F24" s="506"/>
      <c r="G24" s="506">
        <v>0</v>
      </c>
      <c r="H24" s="506"/>
      <c r="I24" s="507">
        <v>0</v>
      </c>
      <c r="J24" s="506"/>
      <c r="K24" s="506">
        <v>0</v>
      </c>
      <c r="L24" s="506"/>
      <c r="M24" s="1427">
        <v>1131652</v>
      </c>
      <c r="N24" s="506"/>
      <c r="O24" s="506">
        <v>1131596</v>
      </c>
      <c r="P24" s="506"/>
      <c r="Q24" s="507">
        <f t="shared" si="3"/>
        <v>4.9487626325950274E-3</v>
      </c>
      <c r="R24" s="506"/>
      <c r="S24" s="506">
        <v>1131652</v>
      </c>
      <c r="T24" s="524"/>
    </row>
    <row r="25" spans="2:20">
      <c r="B25" s="520"/>
      <c r="C25" s="504" t="s">
        <v>884</v>
      </c>
      <c r="D25" s="505"/>
      <c r="E25" s="1421">
        <v>1713940</v>
      </c>
      <c r="F25" s="506"/>
      <c r="G25" s="506">
        <v>2036923</v>
      </c>
      <c r="H25" s="506"/>
      <c r="I25" s="507">
        <f>(E25/G25-1)*100</f>
        <v>-15.856416761949276</v>
      </c>
      <c r="J25" s="506"/>
      <c r="K25" s="506">
        <v>1939450</v>
      </c>
      <c r="L25" s="506"/>
      <c r="M25" s="1427">
        <v>1464957</v>
      </c>
      <c r="N25" s="506"/>
      <c r="O25" s="506">
        <v>1587449</v>
      </c>
      <c r="P25" s="506"/>
      <c r="Q25" s="507">
        <f>(M25/O25-1)*100</f>
        <v>-7.7162793891331294</v>
      </c>
      <c r="R25" s="506"/>
      <c r="S25" s="506">
        <v>1639482</v>
      </c>
      <c r="T25" s="524"/>
    </row>
    <row r="26" spans="2:20" ht="18" customHeight="1">
      <c r="B26" s="520"/>
      <c r="C26" s="504" t="s">
        <v>101</v>
      </c>
      <c r="D26" s="505"/>
      <c r="E26" s="1421">
        <f>1089993-300</f>
        <v>1089693</v>
      </c>
      <c r="F26" s="506"/>
      <c r="G26" s="506">
        <v>1080021</v>
      </c>
      <c r="H26" s="506"/>
      <c r="I26" s="507">
        <f>(E26/G26-1)*100</f>
        <v>0.89553814231388973</v>
      </c>
      <c r="J26" s="506"/>
      <c r="K26" s="506">
        <v>1143929</v>
      </c>
      <c r="L26" s="506"/>
      <c r="M26" s="1427">
        <v>3897365</v>
      </c>
      <c r="N26" s="506"/>
      <c r="O26" s="506">
        <v>4146867</v>
      </c>
      <c r="P26" s="506"/>
      <c r="Q26" s="507">
        <f t="shared" si="3"/>
        <v>-6.016638585225909</v>
      </c>
      <c r="R26" s="506"/>
      <c r="S26" s="506">
        <v>3998370</v>
      </c>
      <c r="T26" s="524"/>
    </row>
    <row r="27" spans="2:20" ht="16.5" customHeight="1">
      <c r="B27" s="520"/>
      <c r="C27" s="504" t="s">
        <v>100</v>
      </c>
      <c r="D27" s="505"/>
      <c r="E27" s="1421">
        <v>209366</v>
      </c>
      <c r="F27" s="506"/>
      <c r="G27" s="506">
        <v>298434</v>
      </c>
      <c r="H27" s="506"/>
      <c r="I27" s="507">
        <f t="shared" ref="I27" si="4">(E27/G27-1)*100</f>
        <v>-29.845124885234252</v>
      </c>
      <c r="J27" s="506"/>
      <c r="K27" s="506">
        <v>257581</v>
      </c>
      <c r="L27" s="506"/>
      <c r="M27" s="1427">
        <v>329582</v>
      </c>
      <c r="N27" s="506"/>
      <c r="O27" s="506">
        <v>403808</v>
      </c>
      <c r="P27" s="506"/>
      <c r="Q27" s="507">
        <f t="shared" si="3"/>
        <v>-18.381508043426575</v>
      </c>
      <c r="R27" s="506"/>
      <c r="S27" s="506">
        <v>368574</v>
      </c>
      <c r="T27" s="524"/>
    </row>
    <row r="28" spans="2:20">
      <c r="B28" s="520"/>
      <c r="C28" s="504" t="s">
        <v>856</v>
      </c>
      <c r="D28" s="505"/>
      <c r="E28" s="1421">
        <v>0</v>
      </c>
      <c r="F28" s="506"/>
      <c r="G28" s="506">
        <v>0</v>
      </c>
      <c r="H28" s="506"/>
      <c r="I28" s="507">
        <v>0</v>
      </c>
      <c r="J28" s="506"/>
      <c r="K28" s="506">
        <v>376291</v>
      </c>
      <c r="L28" s="506"/>
      <c r="M28" s="1427">
        <v>100454</v>
      </c>
      <c r="N28" s="506"/>
      <c r="O28" s="506">
        <v>63779</v>
      </c>
      <c r="P28" s="506"/>
      <c r="Q28" s="507">
        <f t="shared" si="3"/>
        <v>57.503253421972758</v>
      </c>
      <c r="R28" s="506"/>
      <c r="S28" s="506">
        <v>471841</v>
      </c>
      <c r="T28" s="524"/>
    </row>
    <row r="29" spans="2:20">
      <c r="B29" s="520"/>
      <c r="C29" s="465" t="s">
        <v>102</v>
      </c>
      <c r="D29" s="471"/>
      <c r="E29" s="1421">
        <f>922291+300+1</f>
        <v>922592</v>
      </c>
      <c r="F29" s="472"/>
      <c r="G29" s="472">
        <f>858652-1</f>
        <v>858651</v>
      </c>
      <c r="H29" s="472"/>
      <c r="I29" s="480">
        <f>(E29/G29-1)*100</f>
        <v>7.4466808982927901</v>
      </c>
      <c r="J29" s="472"/>
      <c r="K29" s="472">
        <v>1147001</v>
      </c>
      <c r="L29" s="472"/>
      <c r="M29" s="1429">
        <f>1185442</f>
        <v>1185442</v>
      </c>
      <c r="N29" s="472"/>
      <c r="O29" s="506">
        <f>971939+1</f>
        <v>971940</v>
      </c>
      <c r="P29" s="472"/>
      <c r="Q29" s="480">
        <f>(M29/O29-1)*100</f>
        <v>21.966582299318894</v>
      </c>
      <c r="R29" s="506"/>
      <c r="S29" s="472">
        <v>1235329</v>
      </c>
      <c r="T29" s="524"/>
    </row>
    <row r="30" spans="2:20" s="486" customFormat="1" ht="15.75" customHeight="1" thickBot="1">
      <c r="B30" s="526"/>
      <c r="C30" s="560" t="s">
        <v>103</v>
      </c>
      <c r="D30" s="561"/>
      <c r="E30" s="1422">
        <f>SUM(E11:E29)</f>
        <v>169930997</v>
      </c>
      <c r="F30" s="563"/>
      <c r="G30" s="563">
        <f>SUM(G11:G29)</f>
        <v>170669217</v>
      </c>
      <c r="H30" s="563"/>
      <c r="I30" s="564">
        <f>(E30/G30-1)*100</f>
        <v>-0.43254431758481537</v>
      </c>
      <c r="J30" s="563"/>
      <c r="K30" s="563">
        <f>SUM(K11:K29)</f>
        <v>171660193</v>
      </c>
      <c r="L30" s="563"/>
      <c r="M30" s="1428">
        <f>SUM(M11:M29)</f>
        <v>184577749</v>
      </c>
      <c r="N30" s="563"/>
      <c r="O30" s="563">
        <f>SUM(O11:O29)</f>
        <v>184393635</v>
      </c>
      <c r="P30" s="563"/>
      <c r="Q30" s="564">
        <f>(M30/O30-1)*100</f>
        <v>9.9848348886877325E-2</v>
      </c>
      <c r="R30" s="563"/>
      <c r="S30" s="563">
        <f>SUM(S11:S29)</f>
        <v>185997287</v>
      </c>
      <c r="T30" s="524"/>
    </row>
    <row r="31" spans="2:20" ht="15.75" customHeight="1">
      <c r="B31" s="520"/>
      <c r="C31" s="465"/>
      <c r="D31" s="471"/>
      <c r="E31" s="1423"/>
      <c r="F31" s="472"/>
      <c r="G31" s="472"/>
      <c r="H31" s="472"/>
      <c r="I31" s="480"/>
      <c r="J31" s="472"/>
      <c r="K31" s="472"/>
      <c r="L31" s="472"/>
      <c r="M31" s="1429"/>
      <c r="N31" s="472"/>
      <c r="O31" s="472"/>
      <c r="P31" s="472"/>
      <c r="Q31" s="480"/>
      <c r="R31" s="472"/>
      <c r="S31" s="472"/>
      <c r="T31" s="524"/>
    </row>
    <row r="32" spans="2:20" s="486" customFormat="1" ht="15.75" customHeight="1">
      <c r="B32" s="526"/>
      <c r="C32" s="1400" t="s">
        <v>104</v>
      </c>
      <c r="D32" s="505"/>
      <c r="E32" s="1421"/>
      <c r="F32" s="506"/>
      <c r="G32" s="506"/>
      <c r="H32" s="506"/>
      <c r="I32" s="507"/>
      <c r="J32" s="506"/>
      <c r="K32" s="506"/>
      <c r="L32" s="506"/>
      <c r="M32" s="1427"/>
      <c r="N32" s="506"/>
      <c r="O32" s="506"/>
      <c r="P32" s="506"/>
      <c r="Q32" s="507"/>
      <c r="R32" s="506"/>
      <c r="S32" s="506"/>
      <c r="T32" s="524"/>
    </row>
    <row r="33" spans="2:21" s="462" customFormat="1">
      <c r="B33" s="525"/>
      <c r="C33" s="510" t="s">
        <v>442</v>
      </c>
      <c r="D33" s="511"/>
      <c r="E33" s="1424">
        <v>5979123</v>
      </c>
      <c r="F33" s="512"/>
      <c r="G33" s="512">
        <v>11896677</v>
      </c>
      <c r="H33" s="512"/>
      <c r="I33" s="513">
        <f>(E33/G33-1)*100</f>
        <v>-49.741234464044041</v>
      </c>
      <c r="J33" s="512"/>
      <c r="K33" s="512">
        <v>7938185</v>
      </c>
      <c r="L33" s="512"/>
      <c r="M33" s="1430">
        <v>8658607</v>
      </c>
      <c r="N33" s="512"/>
      <c r="O33" s="512">
        <v>14637416</v>
      </c>
      <c r="P33" s="512"/>
      <c r="Q33" s="513">
        <f>(M33/O33-1)*100</f>
        <v>-40.846068732350027</v>
      </c>
      <c r="R33" s="512"/>
      <c r="S33" s="512">
        <v>10978046</v>
      </c>
      <c r="T33" s="524"/>
    </row>
    <row r="34" spans="2:21" s="462" customFormat="1">
      <c r="B34" s="525"/>
      <c r="C34" s="514" t="s">
        <v>443</v>
      </c>
      <c r="D34" s="505"/>
      <c r="E34" s="1424">
        <v>108253162</v>
      </c>
      <c r="F34" s="506"/>
      <c r="G34" s="512">
        <v>99746450</v>
      </c>
      <c r="H34" s="506"/>
      <c r="I34" s="507">
        <f>(E34/G34-1)*100</f>
        <v>8.5283355949008701</v>
      </c>
      <c r="J34" s="512"/>
      <c r="K34" s="512">
        <v>106701027</v>
      </c>
      <c r="L34" s="506"/>
      <c r="M34" s="1430">
        <v>109495402</v>
      </c>
      <c r="N34" s="506"/>
      <c r="O34" s="512">
        <v>100659844</v>
      </c>
      <c r="P34" s="506"/>
      <c r="Q34" s="507">
        <f>(M34/O34-1)*100</f>
        <v>8.7776392739094646</v>
      </c>
      <c r="R34" s="512"/>
      <c r="S34" s="512">
        <v>107685592</v>
      </c>
      <c r="T34" s="524"/>
    </row>
    <row r="35" spans="2:21" s="462" customFormat="1">
      <c r="B35" s="525"/>
      <c r="C35" s="514" t="s">
        <v>588</v>
      </c>
      <c r="D35" s="505"/>
      <c r="E35" s="1424">
        <v>18275444</v>
      </c>
      <c r="F35" s="506"/>
      <c r="G35" s="512">
        <v>21096652</v>
      </c>
      <c r="H35" s="506"/>
      <c r="I35" s="507">
        <f>(E35/G35-1)*100</f>
        <v>-13.372775926720504</v>
      </c>
      <c r="J35" s="512"/>
      <c r="K35" s="512">
        <v>18479260</v>
      </c>
      <c r="L35" s="506"/>
      <c r="M35" s="1430">
        <v>18142627</v>
      </c>
      <c r="N35" s="506"/>
      <c r="O35" s="512">
        <v>20963785</v>
      </c>
      <c r="P35" s="506"/>
      <c r="Q35" s="507">
        <f>(M35/O35-1)*100</f>
        <v>-13.457293136711712</v>
      </c>
      <c r="R35" s="512"/>
      <c r="S35" s="512">
        <v>18338039</v>
      </c>
      <c r="T35" s="524"/>
    </row>
    <row r="36" spans="2:21" s="462" customFormat="1">
      <c r="B36" s="525"/>
      <c r="C36" s="514" t="s">
        <v>589</v>
      </c>
      <c r="D36" s="505"/>
      <c r="E36" s="1424">
        <v>2867168</v>
      </c>
      <c r="F36" s="506"/>
      <c r="G36" s="512">
        <v>2931732</v>
      </c>
      <c r="H36" s="506"/>
      <c r="I36" s="507">
        <f>(E36/G36-1)*100</f>
        <v>-2.2022476815752645</v>
      </c>
      <c r="J36" s="512"/>
      <c r="K36" s="512">
        <v>3014117</v>
      </c>
      <c r="L36" s="506"/>
      <c r="M36" s="1430">
        <v>2658005</v>
      </c>
      <c r="N36" s="506"/>
      <c r="O36" s="512">
        <v>3029153</v>
      </c>
      <c r="P36" s="506"/>
      <c r="Q36" s="507">
        <f>(M36/O36-1)*100</f>
        <v>-12.252533959162836</v>
      </c>
      <c r="R36" s="512"/>
      <c r="S36" s="512">
        <v>2829708</v>
      </c>
      <c r="T36" s="524"/>
    </row>
    <row r="37" spans="2:21" s="462" customFormat="1" hidden="1">
      <c r="B37" s="525"/>
      <c r="C37" s="514" t="s">
        <v>438</v>
      </c>
      <c r="D37" s="505"/>
      <c r="E37" s="1424">
        <v>0</v>
      </c>
      <c r="F37" s="506"/>
      <c r="G37" s="512">
        <v>0</v>
      </c>
      <c r="H37" s="506"/>
      <c r="I37" s="507">
        <v>100</v>
      </c>
      <c r="J37" s="512"/>
      <c r="K37" s="512">
        <v>0</v>
      </c>
      <c r="L37" s="506"/>
      <c r="M37" s="1430">
        <v>0</v>
      </c>
      <c r="N37" s="506"/>
      <c r="O37" s="512">
        <v>0</v>
      </c>
      <c r="P37" s="506"/>
      <c r="Q37" s="507">
        <v>100</v>
      </c>
      <c r="R37" s="512"/>
      <c r="S37" s="512">
        <v>0</v>
      </c>
      <c r="T37" s="524"/>
    </row>
    <row r="38" spans="2:21" s="462" customFormat="1">
      <c r="B38" s="525"/>
      <c r="C38" s="514" t="s">
        <v>911</v>
      </c>
      <c r="D38" s="505"/>
      <c r="E38" s="1424">
        <v>0</v>
      </c>
      <c r="F38" s="506"/>
      <c r="G38" s="512">
        <v>0</v>
      </c>
      <c r="H38" s="506"/>
      <c r="I38" s="507">
        <v>0</v>
      </c>
      <c r="J38" s="512"/>
      <c r="K38" s="512">
        <v>0</v>
      </c>
      <c r="L38" s="506"/>
      <c r="M38" s="1430">
        <f>4550636+550</f>
        <v>4551186</v>
      </c>
      <c r="N38" s="506"/>
      <c r="O38" s="512">
        <v>5113841</v>
      </c>
      <c r="P38" s="506"/>
      <c r="Q38" s="507">
        <f t="shared" ref="Q38:Q39" si="5">(M38/O38-1)*100</f>
        <v>-11.002590811877022</v>
      </c>
      <c r="R38" s="512"/>
      <c r="S38" s="512">
        <v>5065220</v>
      </c>
      <c r="T38" s="524"/>
    </row>
    <row r="39" spans="2:21" s="462" customFormat="1">
      <c r="B39" s="525"/>
      <c r="C39" s="514" t="s">
        <v>885</v>
      </c>
      <c r="D39" s="505"/>
      <c r="E39" s="1424">
        <v>1733072</v>
      </c>
      <c r="F39" s="506"/>
      <c r="G39" s="512">
        <v>1900244</v>
      </c>
      <c r="H39" s="506"/>
      <c r="I39" s="507">
        <f>(E39/G39-1)*100</f>
        <v>-8.7973965448647657</v>
      </c>
      <c r="J39" s="512"/>
      <c r="K39" s="512">
        <v>1909098</v>
      </c>
      <c r="L39" s="506"/>
      <c r="M39" s="1430">
        <f>1465690</f>
        <v>1465690</v>
      </c>
      <c r="N39" s="506"/>
      <c r="O39" s="512">
        <v>1439061</v>
      </c>
      <c r="P39" s="506"/>
      <c r="Q39" s="507">
        <f t="shared" si="5"/>
        <v>1.8504427539902668</v>
      </c>
      <c r="R39" s="512"/>
      <c r="S39" s="512">
        <v>1594245</v>
      </c>
      <c r="T39" s="524"/>
    </row>
    <row r="40" spans="2:21" s="462" customFormat="1">
      <c r="B40" s="525"/>
      <c r="C40" s="514" t="s">
        <v>105</v>
      </c>
      <c r="D40" s="505"/>
      <c r="E40" s="1424">
        <v>0</v>
      </c>
      <c r="F40" s="506"/>
      <c r="G40" s="512">
        <v>645548</v>
      </c>
      <c r="H40" s="506"/>
      <c r="I40" s="507">
        <f>(E40/G40-1)*100</f>
        <v>-100</v>
      </c>
      <c r="J40" s="512"/>
      <c r="K40" s="512">
        <v>1803309</v>
      </c>
      <c r="L40" s="506"/>
      <c r="M40" s="1430">
        <f>293435+68680</f>
        <v>362115</v>
      </c>
      <c r="N40" s="506"/>
      <c r="O40" s="512">
        <v>708059</v>
      </c>
      <c r="P40" s="506"/>
      <c r="Q40" s="507">
        <f>(M40/O40-1)*100</f>
        <v>-48.858075386373166</v>
      </c>
      <c r="R40" s="512"/>
      <c r="S40" s="512">
        <v>2077418</v>
      </c>
      <c r="T40" s="524"/>
    </row>
    <row r="41" spans="2:21">
      <c r="B41" s="520"/>
      <c r="C41" s="504" t="s">
        <v>106</v>
      </c>
      <c r="D41" s="505"/>
      <c r="E41" s="1424">
        <v>59065</v>
      </c>
      <c r="F41" s="506"/>
      <c r="G41" s="512">
        <v>837179</v>
      </c>
      <c r="H41" s="506"/>
      <c r="I41" s="507">
        <f>(E41/G41-1)*100</f>
        <v>-92.944758528343399</v>
      </c>
      <c r="J41" s="512"/>
      <c r="K41" s="512">
        <v>0</v>
      </c>
      <c r="L41" s="506"/>
      <c r="M41" s="1430">
        <v>479009</v>
      </c>
      <c r="N41" s="506"/>
      <c r="O41" s="512">
        <v>1177845</v>
      </c>
      <c r="P41" s="506"/>
      <c r="Q41" s="507">
        <f>(M41/O41-1)*100</f>
        <v>-59.331745688099879</v>
      </c>
      <c r="R41" s="512"/>
      <c r="S41" s="512">
        <v>418132</v>
      </c>
      <c r="T41" s="524"/>
    </row>
    <row r="42" spans="2:21">
      <c r="B42" s="520"/>
      <c r="C42" s="552" t="s">
        <v>107</v>
      </c>
      <c r="D42" s="553"/>
      <c r="E42" s="1424">
        <v>1482500</v>
      </c>
      <c r="F42" s="554"/>
      <c r="G42" s="512">
        <v>1466057</v>
      </c>
      <c r="H42" s="555"/>
      <c r="I42" s="556">
        <f>(E42/G42-1)*100</f>
        <v>1.1215798567177027</v>
      </c>
      <c r="J42" s="512"/>
      <c r="K42" s="592">
        <v>1568565</v>
      </c>
      <c r="L42" s="555"/>
      <c r="M42" s="1430">
        <f>1574910-550</f>
        <v>1574360</v>
      </c>
      <c r="N42" s="555"/>
      <c r="O42" s="512">
        <v>1608040</v>
      </c>
      <c r="P42" s="555"/>
      <c r="Q42" s="556">
        <f>(M42/O42-1)*100</f>
        <v>-2.0944752618094031</v>
      </c>
      <c r="R42" s="512"/>
      <c r="S42" s="472">
        <v>1700685</v>
      </c>
      <c r="T42" s="524"/>
    </row>
    <row r="43" spans="2:21" ht="16.5">
      <c r="B43" s="520"/>
      <c r="C43" s="557" t="s">
        <v>108</v>
      </c>
      <c r="D43" s="558"/>
      <c r="E43" s="1425">
        <f>SUM(E33:E42)</f>
        <v>138649534</v>
      </c>
      <c r="F43" s="487"/>
      <c r="G43" s="487">
        <f>SUM(G33:G42)</f>
        <v>140520539</v>
      </c>
      <c r="H43" s="487"/>
      <c r="I43" s="559">
        <f>(E43/G43-1)*100</f>
        <v>-1.3314815138874447</v>
      </c>
      <c r="J43" s="487"/>
      <c r="K43" s="487">
        <f>SUM(K33:K42)</f>
        <v>141413561</v>
      </c>
      <c r="L43" s="487"/>
      <c r="M43" s="1431">
        <f>SUM(M33:M42)</f>
        <v>147387001</v>
      </c>
      <c r="N43" s="487"/>
      <c r="O43" s="487">
        <f>SUM(O33:O42)</f>
        <v>149337044</v>
      </c>
      <c r="P43" s="487"/>
      <c r="Q43" s="559">
        <f>(M43/O43-1)*100</f>
        <v>-1.305799919275219</v>
      </c>
      <c r="R43" s="487"/>
      <c r="S43" s="487">
        <f>SUM(S33:S42)</f>
        <v>150687085</v>
      </c>
      <c r="T43" s="524"/>
    </row>
    <row r="44" spans="2:21" ht="15.75" customHeight="1">
      <c r="B44" s="520"/>
      <c r="C44" s="473"/>
      <c r="D44" s="483"/>
      <c r="E44" s="1426"/>
      <c r="F44" s="484"/>
      <c r="G44" s="484"/>
      <c r="H44" s="484"/>
      <c r="I44" s="480"/>
      <c r="J44" s="484"/>
      <c r="K44" s="484"/>
      <c r="L44" s="484"/>
      <c r="M44" s="1432"/>
      <c r="N44" s="484"/>
      <c r="O44" s="484"/>
      <c r="P44" s="484"/>
      <c r="Q44" s="480"/>
      <c r="R44" s="484"/>
      <c r="S44" s="484"/>
      <c r="T44" s="524"/>
    </row>
    <row r="45" spans="2:21" s="486" customFormat="1" ht="15.75" customHeight="1">
      <c r="B45" s="526"/>
      <c r="C45" s="473" t="s">
        <v>109</v>
      </c>
      <c r="D45" s="483"/>
      <c r="E45" s="1426"/>
      <c r="F45" s="484"/>
      <c r="G45" s="484"/>
      <c r="H45" s="484"/>
      <c r="I45" s="480"/>
      <c r="J45" s="484"/>
      <c r="K45" s="484"/>
      <c r="L45" s="484"/>
      <c r="M45" s="1432"/>
      <c r="N45" s="484"/>
      <c r="O45" s="484"/>
      <c r="P45" s="484"/>
      <c r="Q45" s="480"/>
      <c r="R45" s="484"/>
      <c r="S45" s="484"/>
      <c r="T45" s="524"/>
    </row>
    <row r="46" spans="2:21" s="462" customFormat="1">
      <c r="B46" s="525"/>
      <c r="C46" s="504" t="s">
        <v>912</v>
      </c>
      <c r="D46" s="505"/>
      <c r="E46" s="1421">
        <v>13915414</v>
      </c>
      <c r="F46" s="506"/>
      <c r="G46" s="506">
        <v>13915414</v>
      </c>
      <c r="H46" s="506"/>
      <c r="I46" s="507">
        <f t="shared" ref="I46:I53" si="6">(E46/G46-1)*100</f>
        <v>0</v>
      </c>
      <c r="J46" s="506"/>
      <c r="K46" s="506">
        <v>13915414</v>
      </c>
      <c r="L46" s="506"/>
      <c r="M46" s="1427">
        <v>13915414</v>
      </c>
      <c r="N46" s="506"/>
      <c r="O46" s="506">
        <v>13915414</v>
      </c>
      <c r="P46" s="506"/>
      <c r="Q46" s="507">
        <f t="shared" ref="Q46:Q51" si="7">(M46/O46-1)*100</f>
        <v>0</v>
      </c>
      <c r="R46" s="506"/>
      <c r="S46" s="506">
        <v>13915414</v>
      </c>
      <c r="T46" s="524"/>
      <c r="U46" s="488"/>
    </row>
    <row r="47" spans="2:21">
      <c r="B47" s="520"/>
      <c r="C47" s="504" t="s">
        <v>110</v>
      </c>
      <c r="D47" s="505"/>
      <c r="E47" s="1421">
        <v>2205344</v>
      </c>
      <c r="F47" s="506"/>
      <c r="G47" s="506">
        <v>2142270</v>
      </c>
      <c r="H47" s="506"/>
      <c r="I47" s="507">
        <f t="shared" si="6"/>
        <v>2.9442600605899427</v>
      </c>
      <c r="J47" s="506"/>
      <c r="K47" s="506">
        <v>2205344</v>
      </c>
      <c r="L47" s="506"/>
      <c r="M47" s="1427">
        <v>2234608</v>
      </c>
      <c r="N47" s="506"/>
      <c r="O47" s="506">
        <v>2155062</v>
      </c>
      <c r="P47" s="506"/>
      <c r="Q47" s="507">
        <f t="shared" si="7"/>
        <v>3.6911235036393375</v>
      </c>
      <c r="R47" s="506"/>
      <c r="S47" s="506">
        <v>2235077</v>
      </c>
      <c r="T47" s="524"/>
      <c r="U47" s="489"/>
    </row>
    <row r="48" spans="2:21">
      <c r="B48" s="520"/>
      <c r="C48" s="504" t="s">
        <v>111</v>
      </c>
      <c r="D48" s="505"/>
      <c r="E48" s="1421">
        <v>15212134</v>
      </c>
      <c r="F48" s="506"/>
      <c r="G48" s="506">
        <v>14131427</v>
      </c>
      <c r="H48" s="506"/>
      <c r="I48" s="507">
        <f t="shared" si="6"/>
        <v>7.6475433089665978</v>
      </c>
      <c r="J48" s="506"/>
      <c r="K48" s="506">
        <v>14227988</v>
      </c>
      <c r="L48" s="506"/>
      <c r="M48" s="1427">
        <f>18166491+100</f>
        <v>18166591</v>
      </c>
      <c r="N48" s="506"/>
      <c r="O48" s="506">
        <v>16322663</v>
      </c>
      <c r="P48" s="506"/>
      <c r="Q48" s="507">
        <f t="shared" si="7"/>
        <v>11.296735097698217</v>
      </c>
      <c r="R48" s="506"/>
      <c r="S48" s="506">
        <v>16517824</v>
      </c>
      <c r="T48" s="524"/>
      <c r="U48" s="489"/>
    </row>
    <row r="49" spans="2:21">
      <c r="B49" s="520"/>
      <c r="C49" s="552" t="s">
        <v>112</v>
      </c>
      <c r="D49" s="553"/>
      <c r="E49" s="705">
        <v>-51429</v>
      </c>
      <c r="F49" s="555"/>
      <c r="G49" s="506">
        <v>-40433</v>
      </c>
      <c r="H49" s="555"/>
      <c r="I49" s="556">
        <f>-(E49/G49-1)*100</f>
        <v>-27.195607548289757</v>
      </c>
      <c r="J49" s="506"/>
      <c r="K49" s="555">
        <v>-102114</v>
      </c>
      <c r="L49" s="555"/>
      <c r="M49" s="1427">
        <f>330590-100</f>
        <v>330490</v>
      </c>
      <c r="N49" s="555"/>
      <c r="O49" s="506">
        <v>287039</v>
      </c>
      <c r="P49" s="555"/>
      <c r="Q49" s="556">
        <f t="shared" si="7"/>
        <v>15.137664219844682</v>
      </c>
      <c r="R49" s="506"/>
      <c r="S49" s="555">
        <v>285103</v>
      </c>
      <c r="T49" s="524"/>
      <c r="U49" s="489"/>
    </row>
    <row r="50" spans="2:21" s="486" customFormat="1" ht="33.75" customHeight="1">
      <c r="B50" s="526"/>
      <c r="C50" s="1773" t="s">
        <v>913</v>
      </c>
      <c r="D50" s="1774"/>
      <c r="E50" s="1477">
        <f>SUM(E46:E49)</f>
        <v>31281463</v>
      </c>
      <c r="F50" s="1478"/>
      <c r="G50" s="1478">
        <f>SUM(G46:G49)</f>
        <v>30148678</v>
      </c>
      <c r="H50" s="1478"/>
      <c r="I50" s="1479">
        <f t="shared" si="6"/>
        <v>3.7573289283198363</v>
      </c>
      <c r="J50" s="1479"/>
      <c r="K50" s="1478">
        <f>SUM(K46:K49)</f>
        <v>30246632</v>
      </c>
      <c r="L50" s="1480"/>
      <c r="M50" s="1477">
        <f>SUM(M46:M49)</f>
        <v>34647103</v>
      </c>
      <c r="N50" s="1478"/>
      <c r="O50" s="1478">
        <f>SUM(O46:O49)</f>
        <v>32680178</v>
      </c>
      <c r="P50" s="1478"/>
      <c r="Q50" s="1479">
        <f t="shared" si="7"/>
        <v>6.0187095676161873</v>
      </c>
      <c r="R50" s="1479"/>
      <c r="S50" s="1478">
        <f>SUM(S46:S49)</f>
        <v>32953418</v>
      </c>
      <c r="T50" s="524"/>
    </row>
    <row r="51" spans="2:21" s="486" customFormat="1" ht="16.5">
      <c r="B51" s="526"/>
      <c r="C51" s="552" t="s">
        <v>471</v>
      </c>
      <c r="D51" s="553"/>
      <c r="E51" s="705">
        <v>0</v>
      </c>
      <c r="F51" s="555"/>
      <c r="G51" s="506">
        <v>0</v>
      </c>
      <c r="H51" s="555"/>
      <c r="I51" s="556">
        <v>0</v>
      </c>
      <c r="J51" s="506"/>
      <c r="K51" s="555">
        <v>0</v>
      </c>
      <c r="L51" s="555"/>
      <c r="M51" s="1427">
        <v>2543645</v>
      </c>
      <c r="N51" s="555"/>
      <c r="O51" s="506">
        <v>2376413</v>
      </c>
      <c r="P51" s="555"/>
      <c r="Q51" s="556">
        <f t="shared" si="7"/>
        <v>7.0371606282241261</v>
      </c>
      <c r="R51" s="506"/>
      <c r="S51" s="555">
        <v>2356784</v>
      </c>
      <c r="T51" s="524"/>
    </row>
    <row r="52" spans="2:21" s="486" customFormat="1" ht="16.5">
      <c r="B52" s="526"/>
      <c r="C52" s="1438" t="s">
        <v>914</v>
      </c>
      <c r="D52" s="1439"/>
      <c r="E52" s="1441">
        <f>SUM(E50:E51)</f>
        <v>31281463</v>
      </c>
      <c r="F52" s="1440"/>
      <c r="G52" s="1440">
        <f>SUM(G50:G51)</f>
        <v>30148678</v>
      </c>
      <c r="H52" s="1440"/>
      <c r="I52" s="1442">
        <f t="shared" si="6"/>
        <v>3.7573289283198363</v>
      </c>
      <c r="J52" s="1442"/>
      <c r="K52" s="1440">
        <f>SUM(K50:K51)</f>
        <v>30246632</v>
      </c>
      <c r="L52" s="1440"/>
      <c r="M52" s="1441">
        <f>SUM(M50:M51)</f>
        <v>37190748</v>
      </c>
      <c r="N52" s="1440"/>
      <c r="O52" s="1440">
        <f>SUM(O50:O51)</f>
        <v>35056591</v>
      </c>
      <c r="P52" s="1440"/>
      <c r="Q52" s="1442">
        <f>(M52/O52-1)*100</f>
        <v>6.0877482354174228</v>
      </c>
      <c r="R52" s="1442"/>
      <c r="S52" s="1440">
        <f>SUM(S50:S51)</f>
        <v>35310202</v>
      </c>
      <c r="T52" s="524"/>
    </row>
    <row r="53" spans="2:21" s="486" customFormat="1" ht="17.25" thickBot="1">
      <c r="B53" s="526"/>
      <c r="C53" s="560" t="s">
        <v>425</v>
      </c>
      <c r="D53" s="561"/>
      <c r="E53" s="562">
        <f>E43+E52</f>
        <v>169930997</v>
      </c>
      <c r="F53" s="563"/>
      <c r="G53" s="563">
        <f>G43+G52</f>
        <v>170669217</v>
      </c>
      <c r="H53" s="563"/>
      <c r="I53" s="1443">
        <f t="shared" si="6"/>
        <v>-0.43254431758481537</v>
      </c>
      <c r="J53" s="1443"/>
      <c r="K53" s="563">
        <f>K43+K52</f>
        <v>171660193</v>
      </c>
      <c r="L53" s="563"/>
      <c r="M53" s="562">
        <f>M43+M52</f>
        <v>184577749</v>
      </c>
      <c r="N53" s="563"/>
      <c r="O53" s="563">
        <f>O43+O52</f>
        <v>184393635</v>
      </c>
      <c r="P53" s="563"/>
      <c r="Q53" s="1443">
        <f t="shared" ref="Q53" si="8">(M53/O53-1)*100</f>
        <v>9.9848348886877325E-2</v>
      </c>
      <c r="R53" s="1443"/>
      <c r="S53" s="563">
        <f>S43+S52</f>
        <v>185997287</v>
      </c>
      <c r="T53" s="524"/>
    </row>
    <row r="54" spans="2:21" s="494" customFormat="1" ht="10.5" customHeight="1">
      <c r="B54" s="527"/>
      <c r="C54" s="491"/>
      <c r="D54" s="492"/>
      <c r="E54" s="616"/>
      <c r="F54" s="493"/>
      <c r="G54" s="493"/>
      <c r="H54" s="493"/>
      <c r="I54" s="480"/>
      <c r="J54" s="493"/>
      <c r="K54" s="493"/>
      <c r="L54" s="493"/>
      <c r="M54" s="616"/>
      <c r="N54" s="493"/>
      <c r="O54" s="493"/>
      <c r="P54" s="493"/>
      <c r="Q54" s="480"/>
      <c r="R54" s="493"/>
      <c r="S54" s="493"/>
      <c r="T54" s="524"/>
    </row>
    <row r="55" spans="2:21" s="494" customFormat="1" ht="16.5">
      <c r="B55" s="527"/>
      <c r="C55" s="666" t="s">
        <v>164</v>
      </c>
      <c r="D55" s="667"/>
      <c r="E55" s="668">
        <v>834083</v>
      </c>
      <c r="F55" s="669"/>
      <c r="G55" s="670">
        <v>595470</v>
      </c>
      <c r="H55" s="670"/>
      <c r="I55" s="507">
        <f>(E55/G55-1)*100</f>
        <v>40.071372193393451</v>
      </c>
      <c r="J55" s="670"/>
      <c r="K55" s="670">
        <v>689290</v>
      </c>
      <c r="L55" s="669"/>
      <c r="M55" s="668">
        <v>851972</v>
      </c>
      <c r="N55" s="669"/>
      <c r="O55" s="670">
        <v>595470</v>
      </c>
      <c r="P55" s="669"/>
      <c r="Q55" s="507">
        <f>(M55/O55-1)*100</f>
        <v>43.075553764253449</v>
      </c>
      <c r="R55" s="670"/>
      <c r="S55" s="670">
        <v>707179</v>
      </c>
      <c r="T55" s="524"/>
    </row>
    <row r="56" spans="2:21" s="494" customFormat="1" ht="16.5">
      <c r="B56" s="527"/>
      <c r="C56" s="671" t="s">
        <v>457</v>
      </c>
      <c r="D56" s="667"/>
      <c r="E56" s="668">
        <v>6919863</v>
      </c>
      <c r="F56" s="669"/>
      <c r="G56" s="670">
        <v>7975008</v>
      </c>
      <c r="H56" s="670"/>
      <c r="I56" s="507">
        <f>(E56/G56-1)*100</f>
        <v>-13.230645035089616</v>
      </c>
      <c r="J56" s="670"/>
      <c r="K56" s="670">
        <v>4627602</v>
      </c>
      <c r="L56" s="669"/>
      <c r="M56" s="668">
        <v>6919863</v>
      </c>
      <c r="N56" s="669"/>
      <c r="O56" s="670">
        <v>8017121</v>
      </c>
      <c r="P56" s="669"/>
      <c r="Q56" s="507">
        <f>(M56/O56-1)*100</f>
        <v>-13.68643431975144</v>
      </c>
      <c r="R56" s="670"/>
      <c r="S56" s="670">
        <v>4643436</v>
      </c>
      <c r="T56" s="524"/>
    </row>
    <row r="57" spans="2:21" s="494" customFormat="1" ht="8.25" customHeight="1">
      <c r="B57" s="527"/>
      <c r="C57" s="495"/>
      <c r="D57" s="492"/>
      <c r="E57" s="551"/>
      <c r="F57" s="493"/>
      <c r="G57" s="493"/>
      <c r="H57" s="493"/>
      <c r="I57" s="480"/>
      <c r="J57" s="493"/>
      <c r="K57" s="1437"/>
      <c r="L57" s="493"/>
      <c r="M57" s="551"/>
      <c r="N57" s="493"/>
      <c r="O57" s="493"/>
      <c r="P57" s="493"/>
      <c r="Q57" s="480"/>
      <c r="R57" s="493"/>
      <c r="S57" s="493"/>
      <c r="T57" s="524"/>
    </row>
    <row r="58" spans="2:21" s="494" customFormat="1" ht="21" customHeight="1">
      <c r="B58" s="527"/>
      <c r="C58" s="671" t="s">
        <v>166</v>
      </c>
      <c r="D58" s="667"/>
      <c r="E58" s="1433">
        <v>19.22</v>
      </c>
      <c r="F58" s="669"/>
      <c r="G58" s="673">
        <v>18.55</v>
      </c>
      <c r="H58" s="673"/>
      <c r="I58" s="507">
        <f>(E58/G58-1)*100</f>
        <v>3.6118598382749223</v>
      </c>
      <c r="J58" s="673"/>
      <c r="K58" s="1412">
        <v>18.582397888330746</v>
      </c>
      <c r="L58" s="669"/>
      <c r="M58" s="1433">
        <v>21.29</v>
      </c>
      <c r="N58" s="669"/>
      <c r="O58" s="673">
        <v>20.11</v>
      </c>
      <c r="P58" s="669"/>
      <c r="Q58" s="507">
        <f>(M58/O58-1)*100</f>
        <v>5.8677274987568362</v>
      </c>
      <c r="R58" s="673"/>
      <c r="S58" s="673">
        <v>20.245345830784743</v>
      </c>
      <c r="T58" s="524"/>
    </row>
    <row r="59" spans="2:21" s="494" customFormat="1" ht="14.25" customHeight="1" thickBot="1">
      <c r="B59" s="527"/>
      <c r="C59" s="495"/>
      <c r="D59" s="492"/>
      <c r="E59" s="617"/>
      <c r="F59" s="493"/>
      <c r="G59" s="493"/>
      <c r="H59" s="493"/>
      <c r="I59" s="493"/>
      <c r="J59" s="493"/>
      <c r="K59" s="480"/>
      <c r="L59" s="493"/>
      <c r="M59" s="617"/>
      <c r="N59" s="493"/>
      <c r="O59" s="493"/>
      <c r="P59" s="493"/>
      <c r="Q59" s="493"/>
      <c r="R59" s="493"/>
      <c r="S59" s="493"/>
      <c r="T59" s="528"/>
    </row>
    <row r="60" spans="2:21" s="494" customFormat="1" ht="15" customHeight="1">
      <c r="B60" s="527"/>
      <c r="C60" s="495"/>
      <c r="D60" s="492"/>
      <c r="E60" s="889"/>
      <c r="F60" s="1420"/>
      <c r="G60" s="1420"/>
      <c r="H60" s="1420"/>
      <c r="I60" s="1420"/>
      <c r="J60" s="1420"/>
      <c r="K60" s="1420"/>
      <c r="L60" s="1420"/>
      <c r="M60" s="1420"/>
      <c r="N60" s="1420"/>
      <c r="O60" s="1420"/>
      <c r="P60" s="1420"/>
      <c r="Q60" s="1420"/>
      <c r="R60" s="1420"/>
      <c r="S60" s="1420"/>
      <c r="T60" s="528"/>
    </row>
    <row r="61" spans="2:21" s="494" customFormat="1" ht="15.75" customHeight="1">
      <c r="B61" s="527"/>
      <c r="C61" s="529" t="s">
        <v>170</v>
      </c>
      <c r="D61" s="530"/>
      <c r="E61" s="530"/>
      <c r="F61" s="530"/>
      <c r="G61" s="530"/>
      <c r="H61" s="530"/>
      <c r="I61" s="530"/>
      <c r="J61" s="530"/>
      <c r="K61" s="530"/>
      <c r="L61" s="530"/>
      <c r="M61" s="530"/>
      <c r="N61" s="530"/>
      <c r="O61" s="530"/>
      <c r="P61" s="530"/>
      <c r="Q61" s="530"/>
      <c r="R61" s="530"/>
      <c r="S61" s="493"/>
      <c r="T61" s="528"/>
    </row>
    <row r="62" spans="2:21" s="494" customFormat="1" ht="22.5" customHeight="1">
      <c r="B62" s="527"/>
      <c r="C62" s="1772" t="s">
        <v>915</v>
      </c>
      <c r="D62" s="1772"/>
      <c r="E62" s="1772"/>
      <c r="F62" s="1772"/>
      <c r="G62" s="1772"/>
      <c r="H62" s="1772"/>
      <c r="I62" s="1772"/>
      <c r="J62" s="1772"/>
      <c r="K62" s="1772"/>
      <c r="L62" s="1772"/>
      <c r="M62" s="1772"/>
      <c r="N62" s="1772"/>
      <c r="O62" s="1772"/>
      <c r="P62" s="1772"/>
      <c r="Q62" s="1772"/>
      <c r="R62" s="1772"/>
      <c r="S62" s="1772"/>
      <c r="T62" s="531"/>
    </row>
    <row r="63" spans="2:21" s="494" customFormat="1" ht="16.5" customHeight="1">
      <c r="B63" s="527"/>
      <c r="C63" s="1703" t="s">
        <v>819</v>
      </c>
      <c r="D63" s="1703"/>
      <c r="E63" s="1703"/>
      <c r="F63" s="1703"/>
      <c r="G63" s="1703"/>
      <c r="H63" s="1703"/>
      <c r="I63" s="1703"/>
      <c r="J63" s="1703"/>
      <c r="K63" s="1703"/>
      <c r="L63" s="1703"/>
      <c r="M63" s="1703"/>
      <c r="N63" s="1703"/>
      <c r="O63" s="1703"/>
      <c r="P63" s="1703"/>
      <c r="Q63" s="1703"/>
      <c r="R63" s="1703"/>
      <c r="S63" s="1703"/>
      <c r="T63" s="528"/>
    </row>
    <row r="64" spans="2:21" s="494" customFormat="1" ht="33" customHeight="1">
      <c r="B64" s="527"/>
      <c r="C64" s="1702" t="s">
        <v>820</v>
      </c>
      <c r="D64" s="1702"/>
      <c r="E64" s="1702"/>
      <c r="F64" s="1702"/>
      <c r="G64" s="1702"/>
      <c r="H64" s="1702"/>
      <c r="I64" s="1702"/>
      <c r="J64" s="1702"/>
      <c r="K64" s="1702"/>
      <c r="L64" s="1702"/>
      <c r="M64" s="1702"/>
      <c r="N64" s="1702"/>
      <c r="O64" s="1702"/>
      <c r="P64" s="1702"/>
      <c r="Q64" s="1702"/>
      <c r="R64" s="1702"/>
      <c r="S64" s="1702"/>
      <c r="T64" s="528"/>
    </row>
    <row r="65" spans="2:20" s="494" customFormat="1" ht="21.75" customHeight="1">
      <c r="B65" s="527"/>
      <c r="D65" s="530"/>
      <c r="E65" s="530"/>
      <c r="F65" s="530"/>
      <c r="G65" s="530"/>
      <c r="H65" s="530"/>
      <c r="I65" s="530"/>
      <c r="J65" s="530"/>
      <c r="K65" s="530"/>
      <c r="L65" s="530"/>
      <c r="M65" s="530"/>
      <c r="N65" s="530"/>
      <c r="O65" s="530"/>
      <c r="P65" s="530"/>
      <c r="Q65" s="530"/>
      <c r="R65" s="530"/>
      <c r="S65" s="493"/>
      <c r="T65" s="528"/>
    </row>
    <row r="66" spans="2:20" s="494" customFormat="1" ht="16.5">
      <c r="B66" s="527"/>
      <c r="C66" s="1697" t="s">
        <v>972</v>
      </c>
      <c r="E66" s="530"/>
      <c r="F66" s="530"/>
      <c r="G66" s="530"/>
      <c r="H66" s="530"/>
      <c r="I66" s="530"/>
      <c r="J66" s="530"/>
      <c r="K66" s="1697" t="s">
        <v>972</v>
      </c>
      <c r="L66" s="530"/>
      <c r="M66" s="530"/>
      <c r="N66" s="530"/>
      <c r="O66" s="530"/>
      <c r="P66" s="530"/>
      <c r="Q66" s="530"/>
      <c r="R66" s="530"/>
      <c r="S66" s="493"/>
      <c r="T66" s="528"/>
    </row>
    <row r="67" spans="2:20" s="494" customFormat="1" ht="18" customHeight="1">
      <c r="B67" s="527"/>
      <c r="C67" s="533" t="s">
        <v>857</v>
      </c>
      <c r="E67" s="530"/>
      <c r="F67" s="530"/>
      <c r="G67" s="530"/>
      <c r="H67" s="530"/>
      <c r="I67" s="530"/>
      <c r="J67" s="530"/>
      <c r="K67" s="533" t="s">
        <v>889</v>
      </c>
      <c r="L67" s="530"/>
      <c r="M67" s="530"/>
      <c r="N67" s="530"/>
      <c r="O67" s="530"/>
      <c r="P67" s="530"/>
      <c r="Q67" s="530"/>
      <c r="R67" s="530"/>
      <c r="S67" s="493"/>
      <c r="T67" s="528"/>
    </row>
    <row r="68" spans="2:20" s="494" customFormat="1" ht="15.75" customHeight="1">
      <c r="B68" s="527"/>
      <c r="C68" s="534" t="s">
        <v>175</v>
      </c>
      <c r="D68" s="498"/>
      <c r="E68" s="530"/>
      <c r="F68" s="530"/>
      <c r="G68" s="530"/>
      <c r="H68" s="530"/>
      <c r="I68" s="530"/>
      <c r="J68" s="530"/>
      <c r="K68" s="534" t="s">
        <v>890</v>
      </c>
      <c r="L68" s="530"/>
      <c r="M68" s="530"/>
      <c r="N68" s="530"/>
      <c r="O68" s="530"/>
      <c r="P68" s="530"/>
      <c r="Q68" s="530"/>
      <c r="R68" s="530"/>
      <c r="S68" s="493"/>
      <c r="T68" s="528"/>
    </row>
    <row r="69" spans="2:20" s="494" customFormat="1" ht="15.75" hidden="1" customHeight="1">
      <c r="B69" s="527"/>
      <c r="C69" s="534"/>
      <c r="D69" s="498"/>
      <c r="E69" s="530"/>
      <c r="F69" s="530"/>
      <c r="G69" s="530"/>
      <c r="H69" s="530"/>
      <c r="I69" s="530"/>
      <c r="J69" s="530"/>
      <c r="K69" s="534"/>
      <c r="L69" s="530"/>
      <c r="M69" s="530"/>
      <c r="N69" s="530"/>
      <c r="O69" s="530"/>
      <c r="P69" s="530"/>
      <c r="Q69" s="530"/>
      <c r="R69" s="530"/>
      <c r="S69" s="493"/>
      <c r="T69" s="528"/>
    </row>
    <row r="70" spans="2:20" s="494" customFormat="1" ht="15.75" hidden="1" customHeight="1">
      <c r="B70" s="527"/>
      <c r="C70" s="1697" t="s">
        <v>976</v>
      </c>
      <c r="D70" s="498"/>
      <c r="E70" s="530"/>
      <c r="F70" s="530"/>
      <c r="G70" s="530"/>
      <c r="H70" s="530"/>
      <c r="I70" s="530"/>
      <c r="J70" s="530"/>
      <c r="K70" s="534"/>
      <c r="L70" s="530"/>
      <c r="M70" s="530"/>
      <c r="N70" s="530"/>
      <c r="O70" s="530"/>
      <c r="P70" s="530"/>
      <c r="Q70" s="530"/>
      <c r="R70" s="530"/>
      <c r="S70" s="493"/>
      <c r="T70" s="528"/>
    </row>
    <row r="71" spans="2:20" s="494" customFormat="1" ht="15.75" hidden="1" customHeight="1">
      <c r="B71" s="527"/>
      <c r="C71" s="1697" t="s">
        <v>977</v>
      </c>
      <c r="D71" s="498"/>
      <c r="E71" s="530"/>
      <c r="F71" s="530"/>
      <c r="G71" s="530"/>
      <c r="H71" s="530"/>
      <c r="I71" s="530"/>
      <c r="J71" s="530"/>
      <c r="K71" s="534"/>
      <c r="L71" s="530"/>
      <c r="M71" s="530"/>
      <c r="N71" s="530"/>
      <c r="O71" s="530"/>
      <c r="P71" s="530"/>
      <c r="Q71" s="530"/>
      <c r="R71" s="530"/>
      <c r="S71" s="493"/>
      <c r="T71" s="528"/>
    </row>
    <row r="72" spans="2:20" s="494" customFormat="1" ht="15.75" hidden="1" customHeight="1">
      <c r="B72" s="527"/>
      <c r="C72" s="1697"/>
      <c r="D72" s="498"/>
      <c r="E72" s="530"/>
      <c r="F72" s="530"/>
      <c r="G72" s="530"/>
      <c r="H72" s="530"/>
      <c r="I72" s="530"/>
      <c r="J72" s="530"/>
      <c r="K72" s="534"/>
      <c r="L72" s="530"/>
      <c r="M72" s="530"/>
      <c r="N72" s="530"/>
      <c r="O72" s="530"/>
      <c r="P72" s="530"/>
      <c r="Q72" s="530"/>
      <c r="R72" s="530"/>
      <c r="S72" s="493"/>
      <c r="T72" s="528"/>
    </row>
    <row r="73" spans="2:20" s="494" customFormat="1" ht="16.5" hidden="1">
      <c r="B73" s="527"/>
      <c r="C73" s="1697" t="s">
        <v>972</v>
      </c>
      <c r="E73" s="530"/>
      <c r="F73" s="530"/>
      <c r="G73" s="530"/>
      <c r="H73" s="530"/>
      <c r="I73" s="530"/>
      <c r="J73" s="530"/>
      <c r="K73" s="1697" t="s">
        <v>972</v>
      </c>
      <c r="L73" s="530"/>
      <c r="M73" s="530"/>
      <c r="N73" s="530"/>
      <c r="O73" s="530"/>
      <c r="P73" s="530"/>
      <c r="Q73" s="530"/>
      <c r="R73" s="530"/>
      <c r="S73" s="493"/>
      <c r="T73" s="528"/>
    </row>
    <row r="74" spans="2:20" s="494" customFormat="1" ht="18" hidden="1" customHeight="1">
      <c r="B74" s="527"/>
      <c r="C74" s="533" t="s">
        <v>973</v>
      </c>
      <c r="E74" s="530"/>
      <c r="F74" s="530"/>
      <c r="G74" s="530"/>
      <c r="H74" s="530"/>
      <c r="I74" s="530"/>
      <c r="J74" s="530"/>
      <c r="K74" s="533" t="s">
        <v>974</v>
      </c>
      <c r="L74" s="530"/>
      <c r="M74" s="530"/>
      <c r="N74" s="530"/>
      <c r="O74" s="530"/>
      <c r="P74" s="530"/>
      <c r="Q74" s="530"/>
      <c r="R74" s="530"/>
      <c r="S74" s="493"/>
      <c r="T74" s="528"/>
    </row>
    <row r="75" spans="2:20" s="494" customFormat="1" ht="15.75" hidden="1" customHeight="1">
      <c r="B75" s="527"/>
      <c r="C75" s="534" t="s">
        <v>45</v>
      </c>
      <c r="D75" s="498"/>
      <c r="E75" s="530"/>
      <c r="F75" s="530"/>
      <c r="G75" s="530"/>
      <c r="H75" s="530"/>
      <c r="I75" s="530"/>
      <c r="J75" s="530"/>
      <c r="K75" s="534" t="s">
        <v>46</v>
      </c>
      <c r="L75" s="530"/>
      <c r="M75" s="530"/>
      <c r="N75" s="530"/>
      <c r="O75" s="530"/>
      <c r="P75" s="530"/>
      <c r="Q75" s="530"/>
      <c r="R75" s="530"/>
      <c r="S75" s="493"/>
      <c r="T75" s="528"/>
    </row>
    <row r="76" spans="2:20" s="494" customFormat="1" ht="15.75" customHeight="1">
      <c r="B76" s="527"/>
      <c r="C76" s="534"/>
      <c r="D76" s="498"/>
      <c r="E76" s="530"/>
      <c r="F76" s="530"/>
      <c r="G76" s="530"/>
      <c r="H76" s="530"/>
      <c r="I76" s="530"/>
      <c r="J76" s="530"/>
      <c r="K76" s="534"/>
      <c r="L76" s="530"/>
      <c r="M76" s="530"/>
      <c r="N76" s="530"/>
      <c r="O76" s="530"/>
      <c r="P76" s="530"/>
      <c r="Q76" s="530"/>
      <c r="R76" s="530"/>
      <c r="S76" s="493"/>
      <c r="T76" s="528"/>
    </row>
    <row r="77" spans="2:20" s="1484" customFormat="1" ht="15.75" customHeight="1">
      <c r="B77" s="1481"/>
      <c r="C77" s="1698" t="s">
        <v>979</v>
      </c>
      <c r="D77" s="1483"/>
      <c r="E77" s="1482"/>
      <c r="F77" s="1482"/>
      <c r="G77" s="1482"/>
      <c r="H77" s="1482"/>
      <c r="I77" s="1482"/>
      <c r="J77" s="1482"/>
      <c r="K77" s="1482"/>
      <c r="L77" s="1482"/>
      <c r="M77" s="1482"/>
      <c r="N77" s="1482"/>
      <c r="O77" s="1482"/>
      <c r="P77" s="1482"/>
      <c r="Q77" s="1482"/>
      <c r="R77" s="1482"/>
      <c r="S77" s="493"/>
      <c r="T77" s="528"/>
    </row>
    <row r="78" spans="2:20" s="494" customFormat="1" ht="15.75" customHeight="1">
      <c r="B78" s="527"/>
      <c r="C78" s="530" t="s">
        <v>975</v>
      </c>
      <c r="D78" s="498"/>
      <c r="E78" s="530"/>
      <c r="F78" s="530"/>
      <c r="G78" s="530"/>
      <c r="H78" s="530"/>
      <c r="I78" s="530"/>
      <c r="J78" s="530"/>
      <c r="K78" s="534"/>
      <c r="L78" s="530"/>
      <c r="M78" s="530"/>
      <c r="N78" s="530"/>
      <c r="O78" s="530"/>
      <c r="P78" s="530"/>
      <c r="Q78" s="530"/>
      <c r="R78" s="530"/>
      <c r="S78" s="493"/>
      <c r="T78" s="528"/>
    </row>
    <row r="79" spans="2:20" s="494" customFormat="1" ht="15.75" customHeight="1">
      <c r="B79" s="527"/>
      <c r="C79" s="534"/>
      <c r="D79" s="498"/>
      <c r="E79" s="530"/>
      <c r="F79" s="530"/>
      <c r="G79" s="530"/>
      <c r="H79" s="530"/>
      <c r="I79" s="530"/>
      <c r="J79" s="530"/>
      <c r="K79" s="534"/>
      <c r="L79" s="530"/>
      <c r="M79" s="530"/>
      <c r="N79" s="530"/>
      <c r="O79" s="530"/>
      <c r="P79" s="530"/>
      <c r="Q79" s="530"/>
      <c r="R79" s="530"/>
      <c r="S79" s="493"/>
      <c r="T79" s="528"/>
    </row>
    <row r="80" spans="2:20" s="494" customFormat="1" ht="18" customHeight="1">
      <c r="B80" s="527"/>
      <c r="C80" s="1388"/>
      <c r="D80" s="498"/>
      <c r="E80" s="530"/>
      <c r="F80" s="530"/>
      <c r="G80" s="530"/>
      <c r="H80" s="530"/>
      <c r="I80" s="530"/>
      <c r="J80" s="530"/>
      <c r="K80" s="534"/>
      <c r="L80" s="530"/>
      <c r="M80" s="530"/>
      <c r="N80" s="530"/>
      <c r="O80" s="530"/>
      <c r="P80" s="530"/>
      <c r="Q80" s="530"/>
      <c r="R80" s="530"/>
      <c r="S80" s="493"/>
      <c r="T80" s="528"/>
    </row>
    <row r="81" spans="2:20" s="494" customFormat="1" ht="6" customHeight="1" thickBot="1">
      <c r="B81" s="536"/>
      <c r="C81" s="537"/>
      <c r="D81" s="538"/>
      <c r="E81" s="539"/>
      <c r="F81" s="539"/>
      <c r="G81" s="539"/>
      <c r="H81" s="539"/>
      <c r="I81" s="539"/>
      <c r="J81" s="539"/>
      <c r="K81" s="540"/>
      <c r="L81" s="539"/>
      <c r="M81" s="539"/>
      <c r="N81" s="539"/>
      <c r="O81" s="539"/>
      <c r="P81" s="539"/>
      <c r="Q81" s="539"/>
      <c r="R81" s="539"/>
      <c r="S81" s="539"/>
      <c r="T81" s="541"/>
    </row>
    <row r="82" spans="2:20" s="494" customFormat="1" ht="16.5">
      <c r="C82" s="491"/>
      <c r="D82" s="492"/>
      <c r="E82" s="493"/>
      <c r="F82" s="493"/>
      <c r="G82" s="493"/>
      <c r="H82" s="493"/>
      <c r="I82" s="493"/>
      <c r="J82" s="493"/>
      <c r="K82" s="493"/>
      <c r="L82" s="493"/>
      <c r="M82" s="493"/>
      <c r="N82" s="493"/>
      <c r="O82" s="493"/>
      <c r="P82" s="493"/>
      <c r="Q82" s="493"/>
      <c r="R82" s="493"/>
      <c r="S82" s="493"/>
      <c r="T82" s="493"/>
    </row>
    <row r="83" spans="2:20" s="494" customFormat="1" ht="16.5">
      <c r="C83" s="491"/>
      <c r="D83" s="492"/>
      <c r="E83" s="493"/>
      <c r="F83" s="493"/>
      <c r="G83" s="493"/>
      <c r="H83" s="493"/>
      <c r="I83" s="493"/>
      <c r="J83" s="493"/>
      <c r="K83" s="493"/>
      <c r="L83" s="493"/>
      <c r="M83" s="493"/>
      <c r="N83" s="493"/>
      <c r="O83" s="493"/>
      <c r="P83" s="493"/>
      <c r="Q83" s="493"/>
      <c r="R83" s="493"/>
      <c r="S83" s="493"/>
      <c r="T83" s="493"/>
    </row>
    <row r="84" spans="2:20">
      <c r="M84" s="464"/>
      <c r="N84" s="464"/>
      <c r="O84" s="464"/>
      <c r="P84" s="464"/>
    </row>
    <row r="85" spans="2:20" ht="16.5">
      <c r="E85" s="499"/>
      <c r="F85" s="499"/>
      <c r="G85" s="499"/>
      <c r="H85" s="499"/>
      <c r="I85" s="499"/>
      <c r="J85" s="499"/>
      <c r="K85" s="499"/>
      <c r="L85" s="499"/>
      <c r="M85" s="499"/>
      <c r="N85" s="499"/>
      <c r="O85" s="499"/>
      <c r="P85" s="499"/>
      <c r="Q85" s="499"/>
      <c r="R85" s="499"/>
      <c r="S85" s="499"/>
      <c r="T85" s="499"/>
    </row>
    <row r="86" spans="2:20">
      <c r="M86" s="500"/>
      <c r="N86" s="500"/>
      <c r="O86" s="500"/>
      <c r="P86" s="500"/>
      <c r="S86" s="500"/>
      <c r="T86" s="500"/>
    </row>
  </sheetData>
  <mergeCells count="8">
    <mergeCell ref="C63:S63"/>
    <mergeCell ref="C64:S64"/>
    <mergeCell ref="B2:T2"/>
    <mergeCell ref="E5:K5"/>
    <mergeCell ref="M5:S5"/>
    <mergeCell ref="C62:S62"/>
    <mergeCell ref="C50:D50"/>
    <mergeCell ref="C19:D19"/>
  </mergeCells>
  <pageMargins left="0.5" right="0.25" top="0.36" bottom="0" header="0.3" footer="0.01"/>
  <pageSetup paperSize="9" scale="59" orientation="portrait" r:id="rId1"/>
</worksheet>
</file>

<file path=xl/worksheets/sheet24.xml><?xml version="1.0" encoding="utf-8"?>
<worksheet xmlns="http://schemas.openxmlformats.org/spreadsheetml/2006/main" xmlns:r="http://schemas.openxmlformats.org/officeDocument/2006/relationships">
  <sheetPr>
    <tabColor rgb="FFFF0000"/>
    <pageSetUpPr fitToPage="1"/>
  </sheetPr>
  <dimension ref="A1:G274"/>
  <sheetViews>
    <sheetView showGridLines="0" view="pageBreakPreview" topLeftCell="A12" zoomScaleSheetLayoutView="100" workbookViewId="0">
      <selection activeCell="E23" sqref="E23:F23"/>
    </sheetView>
  </sheetViews>
  <sheetFormatPr defaultRowHeight="15.75"/>
  <cols>
    <col min="1" max="1" width="1.85546875" style="1500" customWidth="1"/>
    <col min="2" max="2" width="60.7109375" style="1501" customWidth="1"/>
    <col min="3" max="3" width="18.140625" style="1501" customWidth="1"/>
    <col min="4" max="4" width="16.5703125" style="1501" customWidth="1"/>
    <col min="5" max="5" width="12.7109375" style="1501" bestFit="1" customWidth="1"/>
    <col min="6" max="6" width="17.28515625" style="1501" customWidth="1"/>
    <col min="7" max="7" width="1.85546875" style="1500" customWidth="1"/>
    <col min="8" max="16384" width="9.140625" style="1501"/>
  </cols>
  <sheetData>
    <row r="1" spans="2:7" ht="21.75" customHeight="1">
      <c r="B1" s="1732" t="s">
        <v>50</v>
      </c>
      <c r="C1" s="1732"/>
      <c r="D1" s="1732"/>
      <c r="E1" s="1732"/>
      <c r="F1" s="1732"/>
    </row>
    <row r="3" spans="2:7" ht="16.5">
      <c r="B3" s="1503" t="s">
        <v>918</v>
      </c>
      <c r="C3" s="1812" t="s">
        <v>919</v>
      </c>
      <c r="D3" s="1813"/>
      <c r="E3" s="1812" t="s">
        <v>920</v>
      </c>
      <c r="F3" s="1813"/>
    </row>
    <row r="4" spans="2:7" ht="16.5">
      <c r="B4" s="1504" t="s">
        <v>921</v>
      </c>
      <c r="C4" s="1696" t="s">
        <v>922</v>
      </c>
      <c r="D4" s="1696" t="s">
        <v>923</v>
      </c>
      <c r="E4" s="1505" t="s">
        <v>922</v>
      </c>
      <c r="F4" s="1506" t="s">
        <v>923</v>
      </c>
    </row>
    <row r="5" spans="2:7">
      <c r="B5" s="1508" t="s">
        <v>924</v>
      </c>
      <c r="C5" s="1509">
        <v>15.93</v>
      </c>
      <c r="D5" s="1509">
        <v>7</v>
      </c>
      <c r="E5" s="1510">
        <v>15.29</v>
      </c>
      <c r="F5" s="1510">
        <v>7</v>
      </c>
    </row>
    <row r="6" spans="2:7">
      <c r="B6" s="1508" t="s">
        <v>925</v>
      </c>
      <c r="C6" s="1509">
        <v>16.77</v>
      </c>
      <c r="D6" s="1509">
        <v>11</v>
      </c>
      <c r="E6" s="1510">
        <v>16.11</v>
      </c>
      <c r="F6" s="1510">
        <v>11</v>
      </c>
    </row>
    <row r="7" spans="2:7">
      <c r="B7" s="1511" t="s">
        <v>926</v>
      </c>
      <c r="C7" s="1689">
        <v>28.33139430670953</v>
      </c>
      <c r="D7" s="1512">
        <v>10</v>
      </c>
      <c r="E7" s="1513">
        <v>30.435904016954179</v>
      </c>
      <c r="F7" s="1514">
        <v>10</v>
      </c>
    </row>
    <row r="8" spans="2:7" ht="16.5">
      <c r="B8" s="1515" t="s">
        <v>927</v>
      </c>
      <c r="C8" s="1516"/>
      <c r="D8" s="1517"/>
      <c r="E8" s="1516"/>
      <c r="F8" s="1517"/>
    </row>
    <row r="9" spans="2:7">
      <c r="B9" s="1509" t="s">
        <v>928</v>
      </c>
      <c r="C9" s="1508"/>
      <c r="D9" s="1518">
        <v>10.18</v>
      </c>
      <c r="E9" s="1519"/>
      <c r="F9" s="1518">
        <v>6.63</v>
      </c>
    </row>
    <row r="10" spans="2:7">
      <c r="B10" s="1509" t="s">
        <v>929</v>
      </c>
      <c r="C10" s="1508"/>
      <c r="D10" s="1518">
        <v>2.29</v>
      </c>
      <c r="E10" s="1519"/>
      <c r="F10" s="1518">
        <v>1.28</v>
      </c>
    </row>
    <row r="11" spans="2:7">
      <c r="B11" s="1509" t="s">
        <v>930</v>
      </c>
      <c r="C11" s="1508"/>
      <c r="D11" s="1518">
        <v>11.841739080660286</v>
      </c>
      <c r="E11" s="1519"/>
      <c r="F11" s="1518">
        <v>7.3059762177278875</v>
      </c>
    </row>
    <row r="12" spans="2:7">
      <c r="B12" s="1512" t="s">
        <v>931</v>
      </c>
      <c r="C12" s="1511"/>
      <c r="D12" s="1513">
        <v>63.41</v>
      </c>
      <c r="E12" s="1520"/>
      <c r="F12" s="1513">
        <v>69.56</v>
      </c>
    </row>
    <row r="13" spans="2:7" ht="16.5">
      <c r="B13" s="1515" t="s">
        <v>932</v>
      </c>
      <c r="C13" s="1521"/>
      <c r="D13" s="1522"/>
      <c r="E13" s="1523"/>
      <c r="F13" s="1522"/>
      <c r="G13" s="1524"/>
    </row>
    <row r="14" spans="2:7">
      <c r="B14" s="1525" t="s">
        <v>933</v>
      </c>
      <c r="C14" s="929"/>
      <c r="D14" s="1688">
        <v>6.4524632127023294</v>
      </c>
      <c r="E14" s="1091"/>
      <c r="F14" s="1518">
        <v>9.7828442225411596</v>
      </c>
      <c r="G14" s="1526"/>
    </row>
    <row r="15" spans="2:7">
      <c r="B15" s="1509" t="s">
        <v>934</v>
      </c>
      <c r="C15" s="1500"/>
      <c r="D15" s="1688">
        <v>1.7835874087701102</v>
      </c>
      <c r="E15" s="1091"/>
      <c r="F15" s="1518">
        <v>3.00739235834823</v>
      </c>
      <c r="G15" s="1526"/>
    </row>
    <row r="16" spans="2:7">
      <c r="B16" s="1509" t="s">
        <v>935</v>
      </c>
      <c r="C16" s="1500"/>
      <c r="D16" s="1688">
        <v>6.4</v>
      </c>
      <c r="E16" s="1091"/>
      <c r="F16" s="1518">
        <v>11.4376327314242</v>
      </c>
      <c r="G16" s="1526"/>
    </row>
    <row r="17" spans="2:7">
      <c r="B17" s="1512" t="s">
        <v>936</v>
      </c>
      <c r="C17" s="1527"/>
      <c r="D17" s="1575">
        <v>43.86</v>
      </c>
      <c r="E17" s="1527"/>
      <c r="F17" s="1577">
        <v>39.595268115659799</v>
      </c>
      <c r="G17" s="1526"/>
    </row>
    <row r="18" spans="2:7" s="1500" customFormat="1" ht="16.5">
      <c r="B18" s="1528" t="s">
        <v>937</v>
      </c>
      <c r="C18" s="1524"/>
      <c r="D18" s="1529"/>
      <c r="E18" s="1516"/>
      <c r="F18" s="1530"/>
      <c r="G18" s="1531"/>
    </row>
    <row r="19" spans="2:7" s="1500" customFormat="1" ht="32.25">
      <c r="B19" s="1576" t="s">
        <v>938</v>
      </c>
      <c r="C19" s="1524"/>
      <c r="D19" s="1532">
        <v>232.13168798965916</v>
      </c>
      <c r="E19" s="1508"/>
      <c r="F19" s="1533">
        <v>104.01933180251974</v>
      </c>
      <c r="G19" s="1531"/>
    </row>
    <row r="20" spans="2:7">
      <c r="B20" s="1512" t="s">
        <v>939</v>
      </c>
      <c r="C20" s="1527"/>
      <c r="D20" s="1535">
        <v>14.23797798434197</v>
      </c>
      <c r="E20" s="1511"/>
      <c r="F20" s="1513">
        <v>10.332808642088793</v>
      </c>
      <c r="G20" s="1061"/>
    </row>
    <row r="21" spans="2:7" ht="16.5">
      <c r="B21" s="1528" t="s">
        <v>462</v>
      </c>
      <c r="C21" s="1500"/>
      <c r="D21" s="1536"/>
      <c r="E21" s="1537"/>
      <c r="F21" s="1538"/>
      <c r="G21" s="1061"/>
    </row>
    <row r="22" spans="2:7">
      <c r="B22" s="1509" t="s">
        <v>169</v>
      </c>
      <c r="C22" s="1500"/>
      <c r="D22" s="1539">
        <v>104</v>
      </c>
      <c r="E22" s="1500"/>
      <c r="F22" s="1540">
        <v>103</v>
      </c>
      <c r="G22" s="1061"/>
    </row>
    <row r="23" spans="2:7" ht="34.5" customHeight="1">
      <c r="B23" s="1512" t="s">
        <v>940</v>
      </c>
      <c r="C23" s="1814" t="s">
        <v>970</v>
      </c>
      <c r="D23" s="1815"/>
      <c r="E23" s="1816" t="s">
        <v>971</v>
      </c>
      <c r="F23" s="1817"/>
      <c r="G23" s="1061"/>
    </row>
    <row r="24" spans="2:7" ht="16.5" hidden="1">
      <c r="B24" s="1541" t="s">
        <v>941</v>
      </c>
      <c r="C24" s="1542"/>
      <c r="D24" s="1543"/>
      <c r="E24" s="1542"/>
      <c r="F24" s="1543"/>
      <c r="G24" s="1526"/>
    </row>
    <row r="25" spans="2:7" hidden="1">
      <c r="B25" s="1544" t="s">
        <v>942</v>
      </c>
      <c r="C25" s="1545"/>
      <c r="D25" s="1546"/>
      <c r="E25" s="1547"/>
      <c r="F25" s="1546"/>
      <c r="G25" s="1526"/>
    </row>
    <row r="26" spans="2:7" ht="16.5" hidden="1">
      <c r="B26" s="1541" t="s">
        <v>943</v>
      </c>
      <c r="C26" s="1537"/>
      <c r="D26" s="1517"/>
      <c r="E26" s="1537"/>
      <c r="F26" s="1517"/>
      <c r="G26" s="1526"/>
    </row>
    <row r="27" spans="2:7" hidden="1">
      <c r="B27" s="1548" t="s">
        <v>944</v>
      </c>
      <c r="C27" s="1500"/>
      <c r="D27" s="1510"/>
      <c r="E27" s="1500"/>
      <c r="F27" s="1510"/>
      <c r="G27" s="1089"/>
    </row>
    <row r="28" spans="2:7" ht="16.5" hidden="1">
      <c r="B28" s="1548" t="s">
        <v>945</v>
      </c>
      <c r="C28" s="1500"/>
      <c r="D28" s="1510"/>
      <c r="E28" s="1531"/>
      <c r="F28" s="1549"/>
      <c r="G28" s="1089"/>
    </row>
    <row r="29" spans="2:7" ht="16.5" hidden="1">
      <c r="B29" s="1550" t="s">
        <v>946</v>
      </c>
      <c r="C29" s="1551"/>
      <c r="D29" s="1552"/>
      <c r="E29" s="1553"/>
      <c r="F29" s="1554"/>
      <c r="G29" s="1089"/>
    </row>
    <row r="30" spans="2:7" ht="16.5" hidden="1">
      <c r="B30" s="1541" t="s">
        <v>947</v>
      </c>
      <c r="C30" s="1537"/>
      <c r="D30" s="1517"/>
      <c r="E30" s="1537"/>
      <c r="F30" s="1517"/>
      <c r="G30" s="1089"/>
    </row>
    <row r="31" spans="2:7" hidden="1">
      <c r="B31" s="1548" t="s">
        <v>948</v>
      </c>
      <c r="C31" s="1500"/>
      <c r="D31" s="1510"/>
      <c r="E31" s="1500"/>
      <c r="F31" s="1510"/>
      <c r="G31" s="1089"/>
    </row>
    <row r="32" spans="2:7" ht="16.5" hidden="1">
      <c r="B32" s="1548" t="s">
        <v>949</v>
      </c>
      <c r="C32" s="1500"/>
      <c r="D32" s="1510"/>
      <c r="E32" s="1531"/>
      <c r="F32" s="1549"/>
      <c r="G32" s="1089"/>
    </row>
    <row r="33" spans="2:7" ht="16.5" hidden="1">
      <c r="B33" s="1550" t="s">
        <v>950</v>
      </c>
      <c r="C33" s="1551"/>
      <c r="D33" s="1552"/>
      <c r="E33" s="1553"/>
      <c r="F33" s="1554"/>
      <c r="G33" s="1089"/>
    </row>
    <row r="34" spans="2:7" ht="16.5" hidden="1">
      <c r="B34" s="1555" t="s">
        <v>951</v>
      </c>
      <c r="C34" s="1556"/>
      <c r="D34" s="1557"/>
      <c r="E34" s="1537"/>
      <c r="F34" s="1517"/>
      <c r="G34" s="1089"/>
    </row>
    <row r="35" spans="2:7" hidden="1">
      <c r="B35" s="1548" t="s">
        <v>952</v>
      </c>
      <c r="C35" s="1558"/>
      <c r="D35" s="1559"/>
      <c r="E35" s="908"/>
      <c r="F35" s="1560"/>
    </row>
    <row r="36" spans="2:7" hidden="1">
      <c r="B36" s="1548" t="s">
        <v>953</v>
      </c>
      <c r="C36" s="1558"/>
      <c r="D36" s="1559"/>
      <c r="E36" s="908"/>
      <c r="F36" s="1560"/>
    </row>
    <row r="37" spans="2:7" hidden="1">
      <c r="B37" s="1561" t="s">
        <v>954</v>
      </c>
      <c r="C37" s="1558"/>
      <c r="D37" s="1559"/>
      <c r="E37" s="908"/>
      <c r="F37" s="1560"/>
      <c r="G37" s="1562"/>
    </row>
    <row r="38" spans="2:7" ht="16.5" hidden="1">
      <c r="B38" s="1555" t="s">
        <v>955</v>
      </c>
      <c r="C38" s="1556"/>
      <c r="D38" s="1557"/>
      <c r="E38" s="1563"/>
      <c r="F38" s="1564"/>
    </row>
    <row r="39" spans="2:7" ht="2.25" hidden="1" customHeight="1">
      <c r="B39" s="1550" t="s">
        <v>956</v>
      </c>
      <c r="C39" s="1565"/>
      <c r="D39" s="1566"/>
      <c r="E39" s="1567"/>
      <c r="F39" s="1568"/>
    </row>
    <row r="40" spans="2:7" ht="16.5">
      <c r="B40" s="1558"/>
      <c r="C40" s="1558"/>
      <c r="D40" s="1558"/>
      <c r="E40" s="908"/>
      <c r="F40" s="1084"/>
      <c r="G40" s="1531"/>
    </row>
    <row r="41" spans="2:7" ht="16.5">
      <c r="B41" s="1558"/>
      <c r="C41" s="1558"/>
      <c r="D41" s="1558"/>
      <c r="E41" s="908"/>
      <c r="F41" s="1084"/>
      <c r="G41" s="1531"/>
    </row>
    <row r="42" spans="2:7">
      <c r="B42" s="1558"/>
      <c r="C42" s="1558"/>
      <c r="D42" s="1558"/>
      <c r="E42" s="908"/>
      <c r="F42" s="1085"/>
    </row>
    <row r="43" spans="2:7">
      <c r="B43" s="1558"/>
      <c r="C43" s="1558"/>
      <c r="D43" s="1558"/>
      <c r="E43" s="908"/>
      <c r="F43" s="1085"/>
      <c r="G43" s="1084"/>
    </row>
    <row r="44" spans="2:7">
      <c r="B44" s="1558"/>
      <c r="C44" s="1558"/>
      <c r="D44" s="1558"/>
      <c r="E44" s="908"/>
      <c r="F44" s="1084"/>
      <c r="G44" s="1084"/>
    </row>
    <row r="45" spans="2:7">
      <c r="B45" s="1558"/>
      <c r="C45" s="1558"/>
      <c r="D45" s="1558"/>
      <c r="E45" s="908"/>
      <c r="F45" s="1084"/>
      <c r="G45" s="1084"/>
    </row>
    <row r="46" spans="2:7">
      <c r="B46" s="1558"/>
      <c r="C46" s="1558"/>
      <c r="D46" s="1558"/>
      <c r="E46" s="908"/>
      <c r="F46" s="1084"/>
      <c r="G46" s="1084"/>
    </row>
    <row r="47" spans="2:7">
      <c r="B47" s="1558"/>
      <c r="C47" s="1558"/>
      <c r="D47" s="1558"/>
      <c r="E47" s="908"/>
      <c r="F47" s="1084"/>
      <c r="G47" s="1084"/>
    </row>
    <row r="48" spans="2:7">
      <c r="B48" s="1558"/>
      <c r="C48" s="1558"/>
      <c r="D48" s="1558"/>
      <c r="E48" s="908"/>
      <c r="F48" s="1084"/>
      <c r="G48" s="1084"/>
    </row>
    <row r="49" spans="2:7">
      <c r="B49" s="1558"/>
      <c r="C49" s="1558"/>
      <c r="D49" s="1558"/>
      <c r="E49" s="908"/>
      <c r="F49" s="1084"/>
      <c r="G49" s="1084"/>
    </row>
    <row r="50" spans="2:7">
      <c r="B50" s="1558"/>
      <c r="C50" s="1558"/>
      <c r="D50" s="1558"/>
      <c r="E50" s="908"/>
      <c r="F50" s="1084"/>
      <c r="G50" s="1085"/>
    </row>
    <row r="51" spans="2:7">
      <c r="B51" s="1558"/>
      <c r="C51" s="1558"/>
      <c r="D51" s="1558"/>
      <c r="E51" s="908"/>
      <c r="F51" s="1084"/>
      <c r="G51" s="1085"/>
    </row>
    <row r="52" spans="2:7">
      <c r="B52" s="1558"/>
      <c r="C52" s="1558"/>
      <c r="D52" s="1558"/>
      <c r="E52" s="908"/>
      <c r="F52" s="1084"/>
      <c r="G52" s="1084"/>
    </row>
    <row r="53" spans="2:7">
      <c r="B53" s="1558"/>
      <c r="C53" s="1558"/>
      <c r="D53" s="1558"/>
      <c r="E53" s="908"/>
      <c r="F53" s="1084"/>
      <c r="G53" s="1084"/>
    </row>
    <row r="54" spans="2:7">
      <c r="B54" s="1558"/>
      <c r="C54" s="1558"/>
      <c r="D54" s="1558"/>
      <c r="E54" s="908"/>
      <c r="F54" s="1084"/>
      <c r="G54" s="1084"/>
    </row>
    <row r="55" spans="2:7">
      <c r="B55" s="1558"/>
      <c r="C55" s="1558"/>
      <c r="D55" s="1558"/>
      <c r="E55" s="908"/>
      <c r="F55" s="1084"/>
      <c r="G55" s="1084"/>
    </row>
    <row r="56" spans="2:7">
      <c r="B56" s="1558"/>
      <c r="C56" s="1558"/>
      <c r="D56" s="1558"/>
      <c r="E56" s="908"/>
      <c r="F56" s="1084"/>
      <c r="G56" s="1084"/>
    </row>
    <row r="57" spans="2:7">
      <c r="B57" s="1558"/>
      <c r="C57" s="1558"/>
      <c r="D57" s="1558"/>
      <c r="E57" s="908"/>
      <c r="F57" s="1084"/>
      <c r="G57" s="1084"/>
    </row>
    <row r="58" spans="2:7">
      <c r="B58" s="1558"/>
      <c r="C58" s="1558"/>
      <c r="D58" s="1558"/>
      <c r="E58" s="908"/>
      <c r="F58" s="908"/>
      <c r="G58" s="1084"/>
    </row>
    <row r="59" spans="2:7" ht="16.5">
      <c r="B59" s="1569"/>
      <c r="C59" s="1569"/>
      <c r="D59" s="1569"/>
      <c r="E59" s="908"/>
      <c r="F59" s="1084"/>
      <c r="G59" s="1084"/>
    </row>
    <row r="60" spans="2:7">
      <c r="B60" s="1558"/>
      <c r="C60" s="1558"/>
      <c r="D60" s="1558"/>
      <c r="E60" s="908"/>
      <c r="F60" s="1084"/>
      <c r="G60" s="1084"/>
    </row>
    <row r="61" spans="2:7">
      <c r="B61" s="1558"/>
      <c r="C61" s="1558"/>
      <c r="D61" s="1558"/>
      <c r="E61" s="908"/>
      <c r="F61" s="1084"/>
      <c r="G61" s="1084"/>
    </row>
    <row r="62" spans="2:7">
      <c r="B62" s="1558"/>
      <c r="C62" s="1558"/>
      <c r="D62" s="1558"/>
      <c r="E62" s="908"/>
      <c r="F62" s="1084"/>
      <c r="G62" s="1084"/>
    </row>
    <row r="63" spans="2:7">
      <c r="B63" s="1558"/>
      <c r="C63" s="1558"/>
      <c r="D63" s="1558"/>
      <c r="E63" s="908"/>
      <c r="F63" s="1084"/>
      <c r="G63" s="1084"/>
    </row>
    <row r="64" spans="2:7">
      <c r="B64" s="1558"/>
      <c r="C64" s="1558"/>
      <c r="D64" s="1558"/>
      <c r="E64" s="908"/>
      <c r="F64" s="1084"/>
      <c r="G64" s="1084"/>
    </row>
    <row r="65" spans="2:7">
      <c r="B65" s="1558"/>
      <c r="C65" s="1558"/>
      <c r="D65" s="1558"/>
      <c r="E65" s="908"/>
      <c r="F65" s="1084"/>
      <c r="G65" s="1084"/>
    </row>
    <row r="66" spans="2:7">
      <c r="B66" s="1558"/>
      <c r="C66" s="1558"/>
      <c r="D66" s="1558"/>
      <c r="E66" s="908"/>
      <c r="F66" s="1084"/>
      <c r="G66" s="908"/>
    </row>
    <row r="67" spans="2:7">
      <c r="B67" s="1570"/>
      <c r="C67" s="1570"/>
      <c r="D67" s="1570"/>
      <c r="E67" s="908"/>
      <c r="F67" s="1084"/>
      <c r="G67" s="1084"/>
    </row>
    <row r="68" spans="2:7">
      <c r="B68" s="1087"/>
      <c r="C68" s="1087"/>
      <c r="D68" s="1087"/>
      <c r="E68" s="908"/>
      <c r="F68" s="908"/>
      <c r="G68" s="1084"/>
    </row>
    <row r="69" spans="2:7" ht="16.5">
      <c r="B69" s="1569"/>
      <c r="C69" s="1569"/>
      <c r="D69" s="1569"/>
      <c r="E69" s="908"/>
      <c r="F69" s="1084"/>
      <c r="G69" s="1084"/>
    </row>
    <row r="70" spans="2:7">
      <c r="B70" s="1558"/>
      <c r="C70" s="1558"/>
      <c r="D70" s="1558"/>
      <c r="E70" s="908"/>
      <c r="F70" s="1084"/>
      <c r="G70" s="1084"/>
    </row>
    <row r="71" spans="2:7">
      <c r="B71" s="1558"/>
      <c r="C71" s="1558"/>
      <c r="D71" s="1558"/>
      <c r="E71" s="908"/>
      <c r="F71" s="1084"/>
      <c r="G71" s="1084"/>
    </row>
    <row r="72" spans="2:7">
      <c r="B72" s="1558"/>
      <c r="C72" s="1558"/>
      <c r="D72" s="1558"/>
      <c r="E72" s="908"/>
      <c r="F72" s="1084"/>
      <c r="G72" s="1084"/>
    </row>
    <row r="73" spans="2:7">
      <c r="B73" s="1558"/>
      <c r="C73" s="1558"/>
      <c r="D73" s="1558"/>
      <c r="E73" s="908"/>
      <c r="F73" s="1084"/>
      <c r="G73" s="1084"/>
    </row>
    <row r="74" spans="2:7">
      <c r="B74" s="1558"/>
      <c r="C74" s="1558"/>
      <c r="D74" s="1558"/>
      <c r="E74" s="908"/>
      <c r="F74" s="1084"/>
      <c r="G74" s="1084"/>
    </row>
    <row r="75" spans="2:7">
      <c r="B75" s="1558"/>
      <c r="C75" s="1558"/>
      <c r="D75" s="1558"/>
      <c r="E75" s="908"/>
      <c r="F75" s="1084"/>
      <c r="G75" s="1084"/>
    </row>
    <row r="76" spans="2:7">
      <c r="B76" s="1558"/>
      <c r="C76" s="1558"/>
      <c r="D76" s="1558"/>
      <c r="E76" s="908"/>
      <c r="F76" s="1084"/>
      <c r="G76" s="908"/>
    </row>
    <row r="77" spans="2:7">
      <c r="B77" s="1558"/>
      <c r="C77" s="1558"/>
      <c r="D77" s="1558"/>
      <c r="E77" s="908"/>
      <c r="F77" s="1084"/>
      <c r="G77" s="1084"/>
    </row>
    <row r="78" spans="2:7">
      <c r="B78" s="1558"/>
      <c r="C78" s="1558"/>
      <c r="D78" s="1558"/>
      <c r="E78" s="908"/>
      <c r="F78" s="1084"/>
      <c r="G78" s="1084"/>
    </row>
    <row r="79" spans="2:7">
      <c r="B79" s="1558"/>
      <c r="C79" s="1558"/>
      <c r="D79" s="1558"/>
      <c r="E79" s="908"/>
      <c r="F79" s="1084"/>
      <c r="G79" s="1084"/>
    </row>
    <row r="80" spans="2:7">
      <c r="B80" s="1558"/>
      <c r="C80" s="1558"/>
      <c r="D80" s="1558"/>
      <c r="E80" s="908"/>
      <c r="F80" s="1084"/>
      <c r="G80" s="1084"/>
    </row>
    <row r="81" spans="2:7">
      <c r="B81" s="1570"/>
      <c r="C81" s="1570"/>
      <c r="D81" s="1570"/>
      <c r="E81" s="908"/>
      <c r="F81" s="908"/>
      <c r="G81" s="1084"/>
    </row>
    <row r="82" spans="2:7">
      <c r="B82" s="1558"/>
      <c r="C82" s="1558"/>
      <c r="D82" s="1558"/>
      <c r="E82" s="908"/>
      <c r="F82" s="1084"/>
      <c r="G82" s="1084"/>
    </row>
    <row r="83" spans="2:7">
      <c r="B83" s="1558"/>
      <c r="C83" s="1558"/>
      <c r="D83" s="1558"/>
      <c r="E83" s="908"/>
      <c r="F83" s="1084"/>
      <c r="G83" s="1084"/>
    </row>
    <row r="84" spans="2:7" ht="16.5">
      <c r="B84" s="1569"/>
      <c r="C84" s="1569"/>
      <c r="D84" s="1569"/>
      <c r="E84" s="908"/>
      <c r="F84" s="1084"/>
      <c r="G84" s="1084"/>
    </row>
    <row r="85" spans="2:7" ht="16.5">
      <c r="B85" s="1569"/>
      <c r="C85" s="1569"/>
      <c r="D85" s="1569"/>
      <c r="E85" s="908"/>
      <c r="F85" s="1084"/>
      <c r="G85" s="1084"/>
    </row>
    <row r="86" spans="2:7">
      <c r="B86" s="1558"/>
      <c r="C86" s="1558"/>
      <c r="D86" s="1558"/>
      <c r="E86" s="908"/>
      <c r="F86" s="1084"/>
      <c r="G86" s="1084"/>
    </row>
    <row r="87" spans="2:7">
      <c r="B87" s="1558"/>
      <c r="C87" s="1558"/>
      <c r="D87" s="1558"/>
      <c r="E87" s="908"/>
      <c r="F87" s="1084"/>
      <c r="G87" s="1084"/>
    </row>
    <row r="88" spans="2:7">
      <c r="B88" s="1558"/>
      <c r="C88" s="1558"/>
      <c r="D88" s="1558"/>
      <c r="E88" s="908"/>
      <c r="F88" s="1084"/>
      <c r="G88" s="1084"/>
    </row>
    <row r="89" spans="2:7">
      <c r="B89" s="1558"/>
      <c r="C89" s="1558"/>
      <c r="D89" s="1558"/>
      <c r="E89" s="908"/>
      <c r="F89" s="1084"/>
      <c r="G89" s="908"/>
    </row>
    <row r="90" spans="2:7">
      <c r="B90" s="1558"/>
      <c r="C90" s="1558"/>
      <c r="D90" s="1558"/>
      <c r="E90" s="908"/>
      <c r="F90" s="1084"/>
      <c r="G90" s="1084"/>
    </row>
    <row r="91" spans="2:7">
      <c r="B91" s="1558"/>
      <c r="C91" s="1558"/>
      <c r="D91" s="1558"/>
      <c r="E91" s="908"/>
      <c r="F91" s="1084"/>
      <c r="G91" s="1084"/>
    </row>
    <row r="92" spans="2:7">
      <c r="B92" s="1558"/>
      <c r="C92" s="1558"/>
      <c r="D92" s="1558"/>
      <c r="E92" s="908"/>
      <c r="F92" s="1084"/>
      <c r="G92" s="1084"/>
    </row>
    <row r="93" spans="2:7">
      <c r="B93" s="1558"/>
      <c r="C93" s="1558"/>
      <c r="D93" s="1558"/>
      <c r="E93" s="908"/>
      <c r="F93" s="1084"/>
      <c r="G93" s="1084"/>
    </row>
    <row r="94" spans="2:7">
      <c r="B94" s="1558"/>
      <c r="C94" s="1558"/>
      <c r="D94" s="1558"/>
      <c r="E94" s="908"/>
      <c r="F94" s="1084"/>
      <c r="G94" s="1084"/>
    </row>
    <row r="95" spans="2:7">
      <c r="B95" s="1558"/>
      <c r="C95" s="1558"/>
      <c r="D95" s="1558"/>
      <c r="E95" s="908"/>
      <c r="F95" s="1084"/>
      <c r="G95" s="1084"/>
    </row>
    <row r="96" spans="2:7">
      <c r="B96" s="1558"/>
      <c r="C96" s="1558"/>
      <c r="D96" s="1558"/>
      <c r="E96" s="908"/>
      <c r="F96" s="1084"/>
      <c r="G96" s="1084"/>
    </row>
    <row r="97" spans="2:7">
      <c r="B97" s="1558"/>
      <c r="C97" s="1558"/>
      <c r="D97" s="1558"/>
      <c r="E97" s="908"/>
      <c r="F97" s="1084"/>
      <c r="G97" s="1084"/>
    </row>
    <row r="98" spans="2:7">
      <c r="B98" s="1558"/>
      <c r="C98" s="1558"/>
      <c r="D98" s="1558"/>
      <c r="E98" s="908"/>
      <c r="F98" s="1084"/>
      <c r="G98" s="1084"/>
    </row>
    <row r="99" spans="2:7">
      <c r="B99" s="1558"/>
      <c r="C99" s="1558"/>
      <c r="D99" s="1558"/>
      <c r="E99" s="908"/>
      <c r="F99" s="1084"/>
      <c r="G99" s="1084"/>
    </row>
    <row r="100" spans="2:7">
      <c r="B100" s="1558"/>
      <c r="C100" s="1558"/>
      <c r="D100" s="1558"/>
      <c r="E100" s="908"/>
      <c r="F100" s="1084"/>
      <c r="G100" s="1084"/>
    </row>
    <row r="101" spans="2:7">
      <c r="B101" s="1558"/>
      <c r="C101" s="1558"/>
      <c r="D101" s="1558"/>
      <c r="E101" s="908"/>
      <c r="F101" s="1084"/>
      <c r="G101" s="1084"/>
    </row>
    <row r="102" spans="2:7">
      <c r="B102" s="1558"/>
      <c r="C102" s="1558"/>
      <c r="D102" s="1558"/>
      <c r="E102" s="908"/>
      <c r="F102" s="1084"/>
      <c r="G102" s="1084"/>
    </row>
    <row r="103" spans="2:7">
      <c r="B103" s="1558"/>
      <c r="C103" s="1558"/>
      <c r="D103" s="1558"/>
      <c r="E103" s="908"/>
      <c r="F103" s="1084"/>
      <c r="G103" s="1084"/>
    </row>
    <row r="104" spans="2:7">
      <c r="B104" s="1558"/>
      <c r="C104" s="1558"/>
      <c r="D104" s="1558"/>
      <c r="E104" s="908"/>
      <c r="F104" s="1084"/>
      <c r="G104" s="1084"/>
    </row>
    <row r="105" spans="2:7">
      <c r="B105" s="1558"/>
      <c r="C105" s="1558"/>
      <c r="D105" s="1558"/>
      <c r="E105" s="908"/>
      <c r="F105" s="908"/>
      <c r="G105" s="1084"/>
    </row>
    <row r="106" spans="2:7">
      <c r="B106" s="1558"/>
      <c r="C106" s="1558"/>
      <c r="D106" s="1558"/>
      <c r="E106" s="908"/>
      <c r="F106" s="908"/>
      <c r="G106" s="1084"/>
    </row>
    <row r="107" spans="2:7" ht="16.5">
      <c r="B107" s="1569"/>
      <c r="C107" s="1569"/>
      <c r="D107" s="1569"/>
      <c r="E107" s="908"/>
      <c r="F107" s="1084"/>
      <c r="G107" s="1084"/>
    </row>
    <row r="108" spans="2:7" ht="16.5">
      <c r="B108" s="1569"/>
      <c r="C108" s="1569"/>
      <c r="D108" s="1569"/>
      <c r="E108" s="908"/>
      <c r="F108" s="1084"/>
      <c r="G108" s="1084"/>
    </row>
    <row r="109" spans="2:7" ht="16.5">
      <c r="B109" s="1569"/>
      <c r="C109" s="1569"/>
      <c r="D109" s="1569"/>
      <c r="E109" s="908"/>
      <c r="F109" s="1084"/>
      <c r="G109" s="1084"/>
    </row>
    <row r="110" spans="2:7">
      <c r="B110" s="1558"/>
      <c r="C110" s="1558"/>
      <c r="D110" s="1558"/>
      <c r="E110" s="908"/>
      <c r="F110" s="1084"/>
      <c r="G110" s="1084"/>
    </row>
    <row r="111" spans="2:7">
      <c r="B111" s="1558"/>
      <c r="C111" s="1558"/>
      <c r="D111" s="1558"/>
      <c r="E111" s="908"/>
      <c r="F111" s="1084"/>
      <c r="G111" s="1084"/>
    </row>
    <row r="112" spans="2:7">
      <c r="B112" s="1558"/>
      <c r="C112" s="1558"/>
      <c r="D112" s="1558"/>
      <c r="E112" s="908"/>
      <c r="F112" s="1084"/>
      <c r="G112" s="1084"/>
    </row>
    <row r="113" spans="2:7">
      <c r="B113" s="1558"/>
      <c r="C113" s="1558"/>
      <c r="D113" s="1558"/>
      <c r="E113" s="908"/>
      <c r="F113" s="1084"/>
      <c r="G113" s="908"/>
    </row>
    <row r="114" spans="2:7">
      <c r="B114" s="1558"/>
      <c r="C114" s="1558"/>
      <c r="D114" s="1558"/>
      <c r="E114" s="908"/>
      <c r="F114" s="1084"/>
      <c r="G114" s="908"/>
    </row>
    <row r="115" spans="2:7">
      <c r="B115" s="1558"/>
      <c r="C115" s="1558"/>
      <c r="D115" s="1558"/>
      <c r="E115" s="908"/>
      <c r="F115" s="1084"/>
      <c r="G115" s="1084"/>
    </row>
    <row r="116" spans="2:7">
      <c r="B116" s="1558"/>
      <c r="C116" s="1558"/>
      <c r="D116" s="1558"/>
      <c r="E116" s="908"/>
      <c r="F116" s="1084"/>
      <c r="G116" s="1084"/>
    </row>
    <row r="117" spans="2:7">
      <c r="B117" s="1558"/>
      <c r="C117" s="1558"/>
      <c r="D117" s="1558"/>
      <c r="E117" s="908"/>
      <c r="F117" s="1084"/>
      <c r="G117" s="1084"/>
    </row>
    <row r="118" spans="2:7">
      <c r="B118" s="1558"/>
      <c r="C118" s="1558"/>
      <c r="D118" s="1558"/>
      <c r="E118" s="908"/>
      <c r="F118" s="1084"/>
      <c r="G118" s="1084"/>
    </row>
    <row r="119" spans="2:7">
      <c r="B119" s="1558"/>
      <c r="C119" s="1558"/>
      <c r="D119" s="1558"/>
      <c r="E119" s="908"/>
      <c r="F119" s="1084"/>
      <c r="G119" s="1084"/>
    </row>
    <row r="120" spans="2:7">
      <c r="B120" s="1558"/>
      <c r="C120" s="1558"/>
      <c r="D120" s="1558"/>
      <c r="E120" s="908"/>
      <c r="F120" s="1084"/>
      <c r="G120" s="1084"/>
    </row>
    <row r="121" spans="2:7">
      <c r="B121" s="1558"/>
      <c r="C121" s="1558"/>
      <c r="D121" s="1558"/>
      <c r="E121" s="908"/>
      <c r="F121" s="1084"/>
      <c r="G121" s="1084"/>
    </row>
    <row r="122" spans="2:7">
      <c r="B122" s="1558"/>
      <c r="C122" s="1558"/>
      <c r="D122" s="1558"/>
      <c r="E122" s="908"/>
      <c r="F122" s="1084"/>
      <c r="G122" s="1084"/>
    </row>
    <row r="123" spans="2:7">
      <c r="B123" s="1558"/>
      <c r="C123" s="1558"/>
      <c r="D123" s="1558"/>
      <c r="E123" s="908"/>
      <c r="F123" s="1084"/>
      <c r="G123" s="1084"/>
    </row>
    <row r="124" spans="2:7">
      <c r="B124" s="1558"/>
      <c r="C124" s="1558"/>
      <c r="D124" s="1558"/>
      <c r="E124" s="908"/>
      <c r="F124" s="1084"/>
      <c r="G124" s="1084"/>
    </row>
    <row r="125" spans="2:7">
      <c r="B125" s="1558"/>
      <c r="C125" s="1558"/>
      <c r="D125" s="1558"/>
      <c r="E125" s="908"/>
      <c r="F125" s="1084"/>
      <c r="G125" s="1084"/>
    </row>
    <row r="126" spans="2:7">
      <c r="B126" s="1558"/>
      <c r="C126" s="1558"/>
      <c r="D126" s="1558"/>
      <c r="E126" s="908"/>
      <c r="F126" s="1084"/>
      <c r="G126" s="1084"/>
    </row>
    <row r="127" spans="2:7">
      <c r="B127" s="1558"/>
      <c r="C127" s="1558"/>
      <c r="D127" s="1558"/>
      <c r="E127" s="908"/>
      <c r="F127" s="1084"/>
      <c r="G127" s="1084"/>
    </row>
    <row r="128" spans="2:7">
      <c r="B128" s="1558"/>
      <c r="C128" s="1558"/>
      <c r="D128" s="1558"/>
      <c r="E128" s="908"/>
      <c r="F128" s="1084"/>
      <c r="G128" s="1084"/>
    </row>
    <row r="129" spans="2:7">
      <c r="B129" s="1558"/>
      <c r="C129" s="1558"/>
      <c r="D129" s="1558"/>
      <c r="E129" s="908"/>
      <c r="F129" s="908"/>
      <c r="G129" s="1084"/>
    </row>
    <row r="130" spans="2:7">
      <c r="B130" s="1558"/>
      <c r="C130" s="1558"/>
      <c r="D130" s="1558"/>
      <c r="E130" s="908"/>
      <c r="F130" s="908"/>
      <c r="G130" s="1084"/>
    </row>
    <row r="131" spans="2:7">
      <c r="B131" s="1558"/>
      <c r="C131" s="1558"/>
      <c r="D131" s="1558"/>
      <c r="E131" s="908"/>
      <c r="F131" s="1084"/>
      <c r="G131" s="1084"/>
    </row>
    <row r="132" spans="2:7" ht="16.5">
      <c r="B132" s="1569"/>
      <c r="C132" s="1569"/>
      <c r="D132" s="1569"/>
      <c r="E132" s="908"/>
      <c r="F132" s="1084"/>
      <c r="G132" s="1084"/>
    </row>
    <row r="133" spans="2:7" ht="16.5">
      <c r="B133" s="1569"/>
      <c r="C133" s="1569"/>
      <c r="D133" s="1569"/>
      <c r="E133" s="908"/>
      <c r="F133" s="1084"/>
      <c r="G133" s="1084"/>
    </row>
    <row r="134" spans="2:7">
      <c r="B134" s="1558"/>
      <c r="C134" s="1558"/>
      <c r="D134" s="1558"/>
      <c r="E134" s="908"/>
      <c r="F134" s="1084"/>
      <c r="G134" s="1084"/>
    </row>
    <row r="135" spans="2:7">
      <c r="B135" s="1558"/>
      <c r="C135" s="1558"/>
      <c r="D135" s="1558"/>
      <c r="E135" s="908"/>
      <c r="F135" s="1084"/>
      <c r="G135" s="1084"/>
    </row>
    <row r="136" spans="2:7">
      <c r="B136" s="1558"/>
      <c r="C136" s="1558"/>
      <c r="D136" s="1558"/>
      <c r="E136" s="908"/>
      <c r="F136" s="1084"/>
      <c r="G136" s="1084"/>
    </row>
    <row r="137" spans="2:7">
      <c r="B137" s="1558"/>
      <c r="C137" s="1558"/>
      <c r="D137" s="1558"/>
      <c r="E137" s="908"/>
      <c r="F137" s="1084"/>
      <c r="G137" s="908"/>
    </row>
    <row r="138" spans="2:7">
      <c r="B138" s="1558"/>
      <c r="C138" s="1558"/>
      <c r="D138" s="1558"/>
      <c r="E138" s="908"/>
      <c r="F138" s="1084"/>
      <c r="G138" s="908"/>
    </row>
    <row r="139" spans="2:7" ht="16.5">
      <c r="B139" s="1571"/>
      <c r="C139" s="1571"/>
      <c r="D139" s="1571"/>
      <c r="E139" s="908"/>
      <c r="F139" s="1084"/>
      <c r="G139" s="1084"/>
    </row>
    <row r="140" spans="2:7">
      <c r="B140" s="1558"/>
      <c r="C140" s="1558"/>
      <c r="D140" s="1558"/>
      <c r="E140" s="908"/>
      <c r="F140" s="908"/>
      <c r="G140" s="1084"/>
    </row>
    <row r="141" spans="2:7" ht="16.5">
      <c r="B141" s="1558"/>
      <c r="C141" s="1558"/>
      <c r="D141" s="1558"/>
      <c r="E141" s="908"/>
      <c r="F141" s="1060"/>
      <c r="G141" s="1084"/>
    </row>
    <row r="142" spans="2:7" ht="16.5">
      <c r="B142" s="1569"/>
      <c r="C142" s="1569"/>
      <c r="D142" s="1569"/>
      <c r="E142" s="908"/>
      <c r="F142" s="1060"/>
      <c r="G142" s="1084"/>
    </row>
    <row r="143" spans="2:7" ht="16.5">
      <c r="B143" s="1569"/>
      <c r="C143" s="1569"/>
      <c r="D143" s="1569"/>
      <c r="E143" s="908"/>
      <c r="F143" s="1060"/>
      <c r="G143" s="1084"/>
    </row>
    <row r="144" spans="2:7">
      <c r="B144" s="1558"/>
      <c r="C144" s="1558"/>
      <c r="D144" s="1558"/>
      <c r="E144" s="908"/>
      <c r="F144" s="1084"/>
      <c r="G144" s="1084"/>
    </row>
    <row r="145" spans="2:7">
      <c r="B145" s="1558"/>
      <c r="C145" s="1558"/>
      <c r="D145" s="1558"/>
      <c r="E145" s="908"/>
      <c r="F145" s="1084"/>
      <c r="G145" s="1084"/>
    </row>
    <row r="146" spans="2:7">
      <c r="B146" s="1558"/>
      <c r="C146" s="1558"/>
      <c r="D146" s="1558"/>
      <c r="E146" s="908"/>
      <c r="F146" s="1084"/>
      <c r="G146" s="1084"/>
    </row>
    <row r="147" spans="2:7" ht="16.5">
      <c r="B147" s="1558"/>
      <c r="C147" s="1558"/>
      <c r="D147" s="1558"/>
      <c r="E147" s="908"/>
      <c r="F147" s="1060"/>
      <c r="G147" s="1084"/>
    </row>
    <row r="148" spans="2:7">
      <c r="B148" s="1558"/>
      <c r="C148" s="1558"/>
      <c r="D148" s="1558"/>
      <c r="E148" s="908"/>
      <c r="F148" s="1084"/>
      <c r="G148" s="908"/>
    </row>
    <row r="149" spans="2:7" ht="16.5">
      <c r="B149" s="1558"/>
      <c r="C149" s="1558"/>
      <c r="D149" s="1558"/>
      <c r="E149" s="908"/>
      <c r="F149" s="1084"/>
      <c r="G149" s="1060"/>
    </row>
    <row r="150" spans="2:7" ht="16.5">
      <c r="B150" s="1558"/>
      <c r="C150" s="1558"/>
      <c r="D150" s="1558"/>
      <c r="E150" s="908"/>
      <c r="F150" s="1084"/>
      <c r="G150" s="1060"/>
    </row>
    <row r="151" spans="2:7" ht="16.5">
      <c r="B151" s="1558"/>
      <c r="C151" s="1558"/>
      <c r="D151" s="1558"/>
      <c r="E151" s="908"/>
      <c r="F151" s="1084"/>
      <c r="G151" s="1060"/>
    </row>
    <row r="152" spans="2:7">
      <c r="B152" s="1558"/>
      <c r="C152" s="1558"/>
      <c r="D152" s="1558"/>
      <c r="E152" s="908"/>
      <c r="F152" s="1084"/>
      <c r="G152" s="1084"/>
    </row>
    <row r="153" spans="2:7">
      <c r="B153" s="1558"/>
      <c r="C153" s="1558"/>
      <c r="D153" s="1558"/>
      <c r="E153" s="908"/>
      <c r="F153" s="1084"/>
      <c r="G153" s="1084"/>
    </row>
    <row r="154" spans="2:7">
      <c r="B154" s="1558"/>
      <c r="C154" s="1558"/>
      <c r="D154" s="1558"/>
      <c r="E154" s="908"/>
      <c r="F154" s="1084"/>
      <c r="G154" s="1084"/>
    </row>
    <row r="155" spans="2:7" ht="16.5">
      <c r="B155" s="1558"/>
      <c r="C155" s="1558"/>
      <c r="D155" s="1558"/>
      <c r="E155" s="908"/>
      <c r="F155" s="1084"/>
      <c r="G155" s="1060"/>
    </row>
    <row r="156" spans="2:7">
      <c r="B156" s="1558"/>
      <c r="C156" s="1558"/>
      <c r="D156" s="1558"/>
      <c r="E156" s="908"/>
      <c r="F156" s="1084"/>
      <c r="G156" s="1084"/>
    </row>
    <row r="157" spans="2:7">
      <c r="B157" s="929"/>
      <c r="C157" s="929"/>
      <c r="D157" s="929"/>
      <c r="E157" s="908"/>
      <c r="F157" s="888"/>
      <c r="G157" s="1084"/>
    </row>
    <row r="158" spans="2:7">
      <c r="B158" s="1558"/>
      <c r="C158" s="1558"/>
      <c r="D158" s="1558"/>
      <c r="E158" s="908"/>
      <c r="F158" s="908"/>
      <c r="G158" s="1084"/>
    </row>
    <row r="159" spans="2:7">
      <c r="B159" s="1558"/>
      <c r="C159" s="1558"/>
      <c r="D159" s="1558"/>
      <c r="E159" s="908"/>
      <c r="F159" s="1084"/>
      <c r="G159" s="1084"/>
    </row>
    <row r="160" spans="2:7">
      <c r="B160" s="1558"/>
      <c r="C160" s="1558"/>
      <c r="D160" s="1558"/>
      <c r="E160" s="908"/>
      <c r="F160" s="1084"/>
      <c r="G160" s="1084"/>
    </row>
    <row r="161" spans="2:7">
      <c r="B161" s="1558"/>
      <c r="C161" s="1558"/>
      <c r="D161" s="1558"/>
      <c r="E161" s="908"/>
      <c r="F161" s="908"/>
      <c r="G161" s="1084"/>
    </row>
    <row r="162" spans="2:7" ht="16.5">
      <c r="B162" s="1569"/>
      <c r="C162" s="1569"/>
      <c r="D162" s="1569"/>
      <c r="E162" s="908"/>
      <c r="F162" s="1084"/>
      <c r="G162" s="1084"/>
    </row>
    <row r="163" spans="2:7" ht="16.5">
      <c r="B163" s="1569"/>
      <c r="C163" s="1569"/>
      <c r="D163" s="1569"/>
      <c r="E163" s="908"/>
      <c r="F163" s="1084"/>
      <c r="G163" s="1084"/>
    </row>
    <row r="164" spans="2:7">
      <c r="B164" s="1558"/>
      <c r="C164" s="1558"/>
      <c r="D164" s="1558"/>
      <c r="E164" s="908"/>
      <c r="F164" s="1084"/>
      <c r="G164" s="1084"/>
    </row>
    <row r="165" spans="2:7">
      <c r="B165" s="1558"/>
      <c r="C165" s="1558"/>
      <c r="D165" s="1558"/>
      <c r="E165" s="908"/>
      <c r="F165" s="1084"/>
      <c r="G165" s="888"/>
    </row>
    <row r="166" spans="2:7">
      <c r="B166" s="1558"/>
      <c r="C166" s="1558"/>
      <c r="D166" s="1558"/>
      <c r="E166" s="908"/>
      <c r="F166" s="908"/>
      <c r="G166" s="908"/>
    </row>
    <row r="167" spans="2:7">
      <c r="B167" s="1558"/>
      <c r="C167" s="1558"/>
      <c r="D167" s="1558"/>
      <c r="E167" s="908"/>
      <c r="F167" s="1084"/>
      <c r="G167" s="1084"/>
    </row>
    <row r="168" spans="2:7">
      <c r="B168" s="1558"/>
      <c r="C168" s="1558"/>
      <c r="D168" s="1558"/>
      <c r="E168" s="908"/>
      <c r="F168" s="1084"/>
      <c r="G168" s="1084"/>
    </row>
    <row r="169" spans="2:7">
      <c r="B169" s="1558"/>
      <c r="C169" s="1558"/>
      <c r="D169" s="1558"/>
      <c r="E169" s="908"/>
      <c r="F169" s="1084"/>
      <c r="G169" s="908"/>
    </row>
    <row r="170" spans="2:7">
      <c r="B170" s="1558"/>
      <c r="C170" s="1558"/>
      <c r="D170" s="1558"/>
      <c r="E170" s="908"/>
      <c r="F170" s="1084"/>
      <c r="G170" s="1084"/>
    </row>
    <row r="171" spans="2:7">
      <c r="B171" s="1558"/>
      <c r="C171" s="1558"/>
      <c r="D171" s="1558"/>
      <c r="E171" s="908"/>
      <c r="F171" s="1084"/>
      <c r="G171" s="1084"/>
    </row>
    <row r="172" spans="2:7">
      <c r="B172" s="1558"/>
      <c r="C172" s="1558"/>
      <c r="D172" s="1558"/>
      <c r="E172" s="908"/>
      <c r="F172" s="1084"/>
      <c r="G172" s="1084"/>
    </row>
    <row r="173" spans="2:7">
      <c r="B173" s="1558"/>
      <c r="C173" s="1558"/>
      <c r="D173" s="1558"/>
      <c r="E173" s="908"/>
      <c r="F173" s="1084"/>
      <c r="G173" s="1084"/>
    </row>
    <row r="174" spans="2:7">
      <c r="B174" s="1558"/>
      <c r="C174" s="1558"/>
      <c r="D174" s="1558"/>
      <c r="E174" s="908"/>
      <c r="F174" s="1084"/>
      <c r="G174" s="908"/>
    </row>
    <row r="175" spans="2:7">
      <c r="B175" s="1558"/>
      <c r="C175" s="1558"/>
      <c r="D175" s="1558"/>
      <c r="E175" s="908"/>
      <c r="F175" s="1084"/>
      <c r="G175" s="1084"/>
    </row>
    <row r="176" spans="2:7">
      <c r="B176" s="1558"/>
      <c r="C176" s="1558"/>
      <c r="D176" s="1558"/>
      <c r="E176" s="1084"/>
      <c r="F176" s="1084"/>
      <c r="G176" s="1084"/>
    </row>
    <row r="177" spans="2:7">
      <c r="B177" s="1558"/>
      <c r="C177" s="1558"/>
      <c r="D177" s="1558"/>
      <c r="E177" s="1084"/>
      <c r="F177" s="1084"/>
      <c r="G177" s="1084"/>
    </row>
    <row r="178" spans="2:7">
      <c r="B178" s="1558"/>
      <c r="C178" s="1558"/>
      <c r="D178" s="1558"/>
      <c r="E178" s="908"/>
      <c r="F178" s="1084"/>
      <c r="G178" s="1084"/>
    </row>
    <row r="179" spans="2:7" ht="16.5">
      <c r="B179" s="1569"/>
      <c r="C179" s="1569"/>
      <c r="D179" s="1569"/>
      <c r="E179" s="908"/>
      <c r="F179" s="1060"/>
      <c r="G179" s="1084"/>
    </row>
    <row r="180" spans="2:7" ht="16.5">
      <c r="B180" s="1569"/>
      <c r="C180" s="1569"/>
      <c r="D180" s="1569"/>
      <c r="E180" s="908"/>
      <c r="F180" s="1060"/>
      <c r="G180" s="1084"/>
    </row>
    <row r="181" spans="2:7">
      <c r="B181" s="1558"/>
      <c r="C181" s="1558"/>
      <c r="D181" s="1558"/>
      <c r="E181" s="908"/>
      <c r="F181" s="1084"/>
      <c r="G181" s="1084"/>
    </row>
    <row r="182" spans="2:7" ht="16.5">
      <c r="B182" s="1558"/>
      <c r="C182" s="1558"/>
      <c r="D182" s="1558"/>
      <c r="E182" s="908"/>
      <c r="F182" s="1060"/>
      <c r="G182" s="1084"/>
    </row>
    <row r="183" spans="2:7">
      <c r="B183" s="1558"/>
      <c r="C183" s="1558"/>
      <c r="D183" s="1558"/>
      <c r="E183" s="908"/>
      <c r="F183" s="1084"/>
      <c r="G183" s="1084"/>
    </row>
    <row r="184" spans="2:7">
      <c r="B184" s="1558"/>
      <c r="C184" s="1558"/>
      <c r="D184" s="1558"/>
      <c r="E184" s="908"/>
      <c r="F184" s="1084"/>
      <c r="G184" s="1084"/>
    </row>
    <row r="185" spans="2:7">
      <c r="B185" s="1558"/>
      <c r="C185" s="1558"/>
      <c r="D185" s="1558"/>
      <c r="E185" s="908"/>
      <c r="F185" s="1084"/>
      <c r="G185" s="1084"/>
    </row>
    <row r="186" spans="2:7">
      <c r="B186" s="1558"/>
      <c r="C186" s="1558"/>
      <c r="D186" s="1558"/>
      <c r="E186" s="908"/>
      <c r="F186" s="1084"/>
      <c r="G186" s="1084"/>
    </row>
    <row r="187" spans="2:7" ht="16.5">
      <c r="B187" s="1558"/>
      <c r="C187" s="1558"/>
      <c r="D187" s="1558"/>
      <c r="E187" s="908"/>
      <c r="F187" s="1084"/>
      <c r="G187" s="1060"/>
    </row>
    <row r="188" spans="2:7" ht="16.5">
      <c r="B188" s="1558"/>
      <c r="C188" s="1558"/>
      <c r="D188" s="1558"/>
      <c r="E188" s="908"/>
      <c r="F188" s="1084"/>
      <c r="G188" s="1060"/>
    </row>
    <row r="189" spans="2:7">
      <c r="B189" s="1500"/>
      <c r="C189" s="1500"/>
      <c r="D189" s="1500"/>
      <c r="E189" s="908"/>
      <c r="F189" s="1084"/>
      <c r="G189" s="1084"/>
    </row>
    <row r="190" spans="2:7" ht="16.5">
      <c r="B190" s="1500"/>
      <c r="C190" s="1500"/>
      <c r="D190" s="1500"/>
      <c r="E190" s="908"/>
      <c r="F190" s="908"/>
      <c r="G190" s="1060"/>
    </row>
    <row r="191" spans="2:7">
      <c r="B191" s="1500"/>
      <c r="C191" s="1500"/>
      <c r="D191" s="1500"/>
      <c r="E191" s="1500"/>
      <c r="F191" s="1500"/>
      <c r="G191" s="1084"/>
    </row>
    <row r="192" spans="2:7" ht="16.5">
      <c r="B192" s="1524"/>
      <c r="C192" s="1524"/>
      <c r="D192" s="1524"/>
      <c r="E192" s="1500"/>
      <c r="F192" s="1500"/>
      <c r="G192" s="1084"/>
    </row>
    <row r="193" spans="2:7" ht="16.5">
      <c r="B193" s="1524"/>
      <c r="C193" s="1524"/>
      <c r="D193" s="1524"/>
      <c r="E193" s="1500"/>
      <c r="F193" s="1500"/>
      <c r="G193" s="1084"/>
    </row>
    <row r="194" spans="2:7">
      <c r="B194" s="1500"/>
      <c r="C194" s="1500"/>
      <c r="D194" s="1500"/>
      <c r="E194" s="1089"/>
      <c r="F194" s="1500"/>
      <c r="G194" s="1084"/>
    </row>
    <row r="195" spans="2:7">
      <c r="B195" s="1500"/>
      <c r="C195" s="1500"/>
      <c r="D195" s="1500"/>
      <c r="E195" s="1089"/>
      <c r="F195" s="1500"/>
      <c r="G195" s="1084"/>
    </row>
    <row r="196" spans="2:7">
      <c r="B196" s="1500"/>
      <c r="C196" s="1500"/>
      <c r="D196" s="1500"/>
      <c r="E196" s="1089"/>
      <c r="F196" s="1500"/>
      <c r="G196" s="1084"/>
    </row>
    <row r="197" spans="2:7">
      <c r="B197" s="1500"/>
      <c r="C197" s="1500"/>
      <c r="D197" s="1500"/>
      <c r="E197" s="1089"/>
      <c r="F197" s="1500"/>
      <c r="G197" s="1084"/>
    </row>
    <row r="198" spans="2:7">
      <c r="B198" s="1500"/>
      <c r="C198" s="1500"/>
      <c r="D198" s="1500"/>
      <c r="E198" s="1572"/>
      <c r="F198" s="1500"/>
      <c r="G198" s="908"/>
    </row>
    <row r="199" spans="2:7">
      <c r="B199" s="1500"/>
      <c r="C199" s="1500"/>
      <c r="D199" s="1500"/>
      <c r="E199" s="1500"/>
      <c r="F199" s="1500"/>
    </row>
    <row r="200" spans="2:7" ht="16.5">
      <c r="B200" s="1524"/>
      <c r="C200" s="1524"/>
      <c r="D200" s="1524"/>
      <c r="E200" s="1500"/>
      <c r="F200" s="1500"/>
    </row>
    <row r="201" spans="2:7">
      <c r="B201" s="1558"/>
      <c r="C201" s="1558"/>
      <c r="D201" s="1558"/>
      <c r="E201" s="1091"/>
      <c r="F201" s="1500"/>
    </row>
    <row r="202" spans="2:7">
      <c r="B202" s="1558"/>
      <c r="C202" s="1558"/>
      <c r="D202" s="1558"/>
      <c r="E202" s="1091"/>
      <c r="F202" s="1500"/>
    </row>
    <row r="203" spans="2:7">
      <c r="B203" s="1558"/>
      <c r="C203" s="1558"/>
      <c r="D203" s="1558"/>
      <c r="E203" s="1091"/>
      <c r="F203" s="1500"/>
    </row>
    <row r="204" spans="2:7">
      <c r="B204" s="1500"/>
      <c r="C204" s="1500"/>
      <c r="D204" s="1500"/>
      <c r="E204" s="1573"/>
      <c r="F204" s="1500"/>
    </row>
    <row r="205" spans="2:7">
      <c r="B205" s="1500"/>
      <c r="C205" s="1500"/>
      <c r="D205" s="1500"/>
      <c r="E205" s="1500"/>
      <c r="F205" s="1500"/>
    </row>
    <row r="206" spans="2:7" ht="16.5">
      <c r="B206" s="1569"/>
      <c r="C206" s="1569"/>
      <c r="D206" s="1569"/>
      <c r="E206" s="1500"/>
      <c r="F206" s="1500"/>
    </row>
    <row r="207" spans="2:7">
      <c r="B207" s="1558"/>
      <c r="C207" s="1558"/>
      <c r="D207" s="1558"/>
      <c r="E207" s="1093"/>
      <c r="F207" s="1500"/>
    </row>
    <row r="208" spans="2:7">
      <c r="B208" s="1558"/>
      <c r="C208" s="1558"/>
      <c r="D208" s="1558"/>
      <c r="E208" s="1093"/>
      <c r="F208" s="1500"/>
    </row>
    <row r="209" spans="2:7">
      <c r="B209" s="1558"/>
      <c r="C209" s="1558"/>
      <c r="D209" s="1558"/>
      <c r="E209" s="1093"/>
      <c r="F209" s="1500"/>
    </row>
    <row r="210" spans="2:7">
      <c r="B210" s="1500"/>
      <c r="C210" s="1500"/>
      <c r="D210" s="1500"/>
      <c r="E210" s="1573"/>
      <c r="F210" s="1500"/>
    </row>
    <row r="211" spans="2:7">
      <c r="B211" s="1500"/>
      <c r="C211" s="1500"/>
      <c r="D211" s="1500"/>
      <c r="E211" s="1500"/>
      <c r="F211" s="1500"/>
    </row>
    <row r="212" spans="2:7" ht="16.5">
      <c r="B212" s="1569"/>
      <c r="C212" s="1569"/>
      <c r="D212" s="1569"/>
      <c r="E212" s="1500"/>
      <c r="F212" s="1500"/>
    </row>
    <row r="213" spans="2:7">
      <c r="B213" s="1558"/>
      <c r="C213" s="1558"/>
      <c r="D213" s="1558"/>
      <c r="E213" s="1572"/>
      <c r="F213" s="1500"/>
    </row>
    <row r="214" spans="2:7">
      <c r="B214" s="1558"/>
      <c r="C214" s="1558"/>
      <c r="D214" s="1558"/>
      <c r="E214" s="1572"/>
      <c r="F214" s="1500"/>
    </row>
    <row r="215" spans="2:7">
      <c r="B215" s="1558"/>
      <c r="C215" s="1558"/>
      <c r="D215" s="1558"/>
      <c r="E215" s="1572"/>
      <c r="F215" s="1500"/>
    </row>
    <row r="216" spans="2:7">
      <c r="B216" s="1500"/>
      <c r="C216" s="1500"/>
      <c r="D216" s="1500"/>
      <c r="E216" s="1573"/>
      <c r="F216" s="1089"/>
    </row>
    <row r="217" spans="2:7">
      <c r="B217" s="1500"/>
      <c r="C217" s="1500"/>
      <c r="D217" s="1500"/>
      <c r="E217" s="1573"/>
      <c r="F217" s="1089"/>
    </row>
    <row r="218" spans="2:7" ht="16.5">
      <c r="B218" s="1569"/>
      <c r="C218" s="1569"/>
      <c r="D218" s="1569"/>
      <c r="E218" s="1573"/>
      <c r="F218" s="1089"/>
    </row>
    <row r="219" spans="2:7">
      <c r="B219" s="1500"/>
      <c r="C219" s="1500"/>
      <c r="D219" s="1500"/>
      <c r="E219" s="1572"/>
      <c r="F219" s="1089"/>
    </row>
    <row r="220" spans="2:7">
      <c r="B220" s="1558"/>
      <c r="C220" s="1558"/>
      <c r="D220" s="1558"/>
      <c r="E220" s="1572"/>
      <c r="F220" s="1089"/>
    </row>
    <row r="221" spans="2:7">
      <c r="B221" s="1500"/>
      <c r="C221" s="1500"/>
      <c r="D221" s="1500"/>
      <c r="E221" s="1572"/>
      <c r="F221" s="1500"/>
    </row>
    <row r="222" spans="2:7" ht="16.5">
      <c r="B222" s="1524"/>
      <c r="C222" s="1524"/>
      <c r="D222" s="1524"/>
      <c r="E222" s="1572"/>
      <c r="F222" s="1500"/>
    </row>
    <row r="223" spans="2:7">
      <c r="B223" s="1500"/>
      <c r="C223" s="1500"/>
      <c r="D223" s="1500"/>
      <c r="E223" s="1572"/>
      <c r="F223" s="1500"/>
    </row>
    <row r="224" spans="2:7">
      <c r="B224" s="1500"/>
      <c r="C224" s="1500"/>
      <c r="D224" s="1500"/>
      <c r="E224" s="1572"/>
      <c r="F224" s="1500"/>
      <c r="G224" s="1089"/>
    </row>
    <row r="225" spans="2:7">
      <c r="B225" s="1500"/>
      <c r="C225" s="1500"/>
      <c r="D225" s="1500"/>
      <c r="E225" s="1572"/>
      <c r="F225" s="1573"/>
      <c r="G225" s="1089"/>
    </row>
    <row r="226" spans="2:7">
      <c r="B226" s="1500"/>
      <c r="C226" s="1500"/>
      <c r="D226" s="1500"/>
      <c r="E226" s="1572"/>
      <c r="F226" s="1500"/>
      <c r="G226" s="1089"/>
    </row>
    <row r="227" spans="2:7" ht="16.5">
      <c r="B227" s="1569"/>
      <c r="C227" s="1569"/>
      <c r="D227" s="1569"/>
      <c r="E227" s="1500"/>
      <c r="F227" s="1500"/>
      <c r="G227" s="1089"/>
    </row>
    <row r="228" spans="2:7">
      <c r="B228" s="1500"/>
      <c r="C228" s="1500"/>
      <c r="D228" s="1500"/>
      <c r="E228" s="1572"/>
      <c r="F228" s="1500"/>
      <c r="G228" s="1089"/>
    </row>
    <row r="229" spans="2:7">
      <c r="B229" s="1500"/>
      <c r="C229" s="1500"/>
      <c r="D229" s="1500"/>
      <c r="E229" s="1500"/>
      <c r="F229" s="1500"/>
    </row>
    <row r="230" spans="2:7">
      <c r="B230" s="1500"/>
      <c r="C230" s="1500"/>
      <c r="D230" s="1500"/>
      <c r="E230" s="1572"/>
      <c r="F230" s="1500"/>
    </row>
    <row r="231" spans="2:7">
      <c r="B231" s="1500"/>
      <c r="C231" s="1500"/>
      <c r="D231" s="1500"/>
      <c r="E231" s="1500"/>
      <c r="F231" s="1500"/>
    </row>
    <row r="232" spans="2:7">
      <c r="B232" s="1500"/>
      <c r="C232" s="1500"/>
      <c r="D232" s="1500"/>
      <c r="E232" s="1572"/>
      <c r="F232" s="1500"/>
    </row>
    <row r="233" spans="2:7">
      <c r="B233" s="1500"/>
      <c r="C233" s="1500"/>
      <c r="D233" s="1500"/>
      <c r="E233" s="1500"/>
      <c r="F233" s="1500"/>
      <c r="G233" s="1573"/>
    </row>
    <row r="234" spans="2:7">
      <c r="B234" s="1500"/>
      <c r="C234" s="1500"/>
      <c r="D234" s="1500"/>
      <c r="E234" s="1572"/>
      <c r="F234" s="1500"/>
    </row>
    <row r="235" spans="2:7">
      <c r="B235" s="1500"/>
      <c r="C235" s="1500"/>
      <c r="D235" s="1500"/>
      <c r="E235" s="1500"/>
      <c r="F235" s="1500"/>
    </row>
    <row r="236" spans="2:7">
      <c r="B236" s="1500"/>
      <c r="C236" s="1500"/>
      <c r="D236" s="1500"/>
      <c r="E236" s="1572"/>
      <c r="F236" s="1500"/>
    </row>
    <row r="237" spans="2:7">
      <c r="B237" s="1500"/>
      <c r="C237" s="1500"/>
      <c r="D237" s="1500"/>
      <c r="E237" s="1500"/>
      <c r="F237" s="1500"/>
    </row>
    <row r="238" spans="2:7">
      <c r="B238" s="1558"/>
      <c r="C238" s="1558"/>
      <c r="D238" s="1558"/>
      <c r="E238" s="1572"/>
      <c r="F238" s="1500"/>
    </row>
    <row r="239" spans="2:7">
      <c r="B239" s="1558"/>
      <c r="C239" s="1558"/>
      <c r="D239" s="1558"/>
      <c r="E239" s="1572"/>
      <c r="F239" s="1500"/>
    </row>
    <row r="240" spans="2:7">
      <c r="B240" s="1558"/>
      <c r="C240" s="1558"/>
      <c r="D240" s="1558"/>
      <c r="E240" s="1572"/>
      <c r="F240" s="1500"/>
    </row>
    <row r="241" spans="2:6">
      <c r="B241" s="1558"/>
      <c r="C241" s="1558"/>
      <c r="D241" s="1558"/>
      <c r="E241" s="1572"/>
      <c r="F241" s="1500"/>
    </row>
    <row r="242" spans="2:6" ht="16.5">
      <c r="B242" s="1500"/>
      <c r="C242" s="1500"/>
      <c r="D242" s="1500"/>
      <c r="E242" s="1574"/>
      <c r="F242" s="1500"/>
    </row>
    <row r="243" spans="2:6">
      <c r="B243" s="1500"/>
      <c r="C243" s="1500"/>
      <c r="D243" s="1500"/>
      <c r="E243" s="1500"/>
      <c r="F243" s="1500"/>
    </row>
    <row r="244" spans="2:6">
      <c r="B244" s="1500"/>
      <c r="C244" s="1500"/>
      <c r="D244" s="1500"/>
      <c r="E244" s="1500"/>
      <c r="F244" s="1500"/>
    </row>
    <row r="245" spans="2:6">
      <c r="B245" s="1500"/>
      <c r="C245" s="1500"/>
      <c r="D245" s="1500"/>
      <c r="E245" s="1500"/>
      <c r="F245" s="1500"/>
    </row>
    <row r="246" spans="2:6">
      <c r="B246" s="1500"/>
      <c r="C246" s="1500"/>
      <c r="D246" s="1500"/>
      <c r="E246" s="1500"/>
      <c r="F246" s="1500"/>
    </row>
    <row r="247" spans="2:6">
      <c r="B247" s="1500"/>
      <c r="C247" s="1500"/>
      <c r="D247" s="1500"/>
      <c r="E247" s="1500"/>
      <c r="F247" s="1500"/>
    </row>
    <row r="248" spans="2:6">
      <c r="B248" s="1500"/>
      <c r="C248" s="1500"/>
      <c r="D248" s="1500"/>
      <c r="E248" s="1500"/>
      <c r="F248" s="1500"/>
    </row>
    <row r="249" spans="2:6">
      <c r="B249" s="1500"/>
      <c r="C249" s="1500"/>
      <c r="D249" s="1500"/>
      <c r="E249" s="1500"/>
      <c r="F249" s="1500"/>
    </row>
    <row r="250" spans="2:6">
      <c r="B250" s="1500"/>
      <c r="C250" s="1500"/>
      <c r="D250" s="1500"/>
      <c r="E250" s="1500"/>
      <c r="F250" s="1500"/>
    </row>
    <row r="251" spans="2:6">
      <c r="B251" s="1500"/>
      <c r="C251" s="1500"/>
      <c r="D251" s="1500"/>
      <c r="E251" s="1500"/>
      <c r="F251" s="1500"/>
    </row>
    <row r="252" spans="2:6">
      <c r="B252" s="1500"/>
      <c r="C252" s="1500"/>
      <c r="D252" s="1500"/>
      <c r="E252" s="1500"/>
      <c r="F252" s="1500"/>
    </row>
    <row r="253" spans="2:6">
      <c r="B253" s="1500"/>
      <c r="C253" s="1500"/>
      <c r="D253" s="1500"/>
      <c r="E253" s="1500"/>
      <c r="F253" s="1500"/>
    </row>
    <row r="254" spans="2:6">
      <c r="B254" s="1500"/>
      <c r="C254" s="1500"/>
      <c r="D254" s="1500"/>
      <c r="E254" s="1500"/>
      <c r="F254" s="1500"/>
    </row>
    <row r="255" spans="2:6">
      <c r="B255" s="1500"/>
      <c r="C255" s="1500"/>
      <c r="D255" s="1500"/>
      <c r="E255" s="1500"/>
      <c r="F255" s="1500"/>
    </row>
    <row r="256" spans="2:6">
      <c r="B256" s="1500"/>
      <c r="C256" s="1500"/>
      <c r="D256" s="1500"/>
      <c r="E256" s="1500"/>
      <c r="F256" s="1500"/>
    </row>
    <row r="257" spans="2:6">
      <c r="B257" s="1500"/>
      <c r="C257" s="1500"/>
      <c r="D257" s="1500"/>
      <c r="E257" s="1500"/>
      <c r="F257" s="1500"/>
    </row>
    <row r="258" spans="2:6">
      <c r="B258" s="1500"/>
      <c r="C258" s="1500"/>
      <c r="D258" s="1500"/>
      <c r="E258" s="1500"/>
      <c r="F258" s="1500"/>
    </row>
    <row r="259" spans="2:6">
      <c r="B259" s="1500"/>
      <c r="C259" s="1500"/>
      <c r="D259" s="1500"/>
      <c r="E259" s="1500"/>
      <c r="F259" s="1500"/>
    </row>
    <row r="260" spans="2:6">
      <c r="B260" s="1500"/>
      <c r="C260" s="1500"/>
      <c r="D260" s="1500"/>
      <c r="E260" s="1500"/>
      <c r="F260" s="1500"/>
    </row>
    <row r="261" spans="2:6">
      <c r="B261" s="1500"/>
      <c r="C261" s="1500"/>
      <c r="D261" s="1500"/>
      <c r="E261" s="1500"/>
      <c r="F261" s="1500"/>
    </row>
    <row r="262" spans="2:6">
      <c r="B262" s="1500"/>
      <c r="C262" s="1500"/>
      <c r="D262" s="1500"/>
      <c r="E262" s="1500"/>
      <c r="F262" s="1500"/>
    </row>
    <row r="263" spans="2:6">
      <c r="B263" s="1500"/>
      <c r="C263" s="1500"/>
      <c r="D263" s="1500"/>
      <c r="E263" s="1500"/>
      <c r="F263" s="1500"/>
    </row>
    <row r="264" spans="2:6">
      <c r="B264" s="1500"/>
      <c r="C264" s="1500"/>
      <c r="D264" s="1500"/>
      <c r="E264" s="1500"/>
      <c r="F264" s="1500"/>
    </row>
    <row r="265" spans="2:6">
      <c r="B265" s="1500"/>
      <c r="C265" s="1500"/>
      <c r="D265" s="1500"/>
      <c r="E265" s="1500"/>
      <c r="F265" s="1500"/>
    </row>
    <row r="266" spans="2:6">
      <c r="B266" s="1500"/>
      <c r="C266" s="1500"/>
      <c r="D266" s="1500"/>
      <c r="E266" s="1500"/>
      <c r="F266" s="1500"/>
    </row>
    <row r="267" spans="2:6">
      <c r="B267" s="1500"/>
      <c r="C267" s="1500"/>
      <c r="D267" s="1500"/>
      <c r="E267" s="1500"/>
      <c r="F267" s="1500"/>
    </row>
    <row r="268" spans="2:6">
      <c r="B268" s="1500"/>
      <c r="C268" s="1500"/>
      <c r="D268" s="1500"/>
      <c r="E268" s="1500"/>
      <c r="F268" s="1500"/>
    </row>
    <row r="269" spans="2:6">
      <c r="B269" s="1500"/>
      <c r="C269" s="1500"/>
      <c r="D269" s="1500"/>
      <c r="E269" s="1500"/>
      <c r="F269" s="1500"/>
    </row>
    <row r="270" spans="2:6">
      <c r="B270" s="1500"/>
      <c r="C270" s="1500"/>
      <c r="D270" s="1500"/>
      <c r="E270" s="1500"/>
      <c r="F270" s="1500"/>
    </row>
    <row r="271" spans="2:6">
      <c r="B271" s="1500"/>
      <c r="C271" s="1500"/>
      <c r="D271" s="1500"/>
      <c r="E271" s="1500"/>
      <c r="F271" s="1500"/>
    </row>
    <row r="272" spans="2:6">
      <c r="B272" s="1500"/>
      <c r="C272" s="1500"/>
      <c r="D272" s="1500"/>
      <c r="E272" s="1500"/>
      <c r="F272" s="1500"/>
    </row>
    <row r="273" spans="2:6">
      <c r="B273" s="1500"/>
      <c r="C273" s="1500"/>
      <c r="D273" s="1500"/>
      <c r="E273" s="1500"/>
      <c r="F273" s="1500"/>
    </row>
    <row r="274" spans="2:6">
      <c r="B274" s="1500"/>
      <c r="C274" s="1500"/>
      <c r="D274" s="1500"/>
      <c r="E274" s="1500"/>
      <c r="F274" s="1500"/>
    </row>
  </sheetData>
  <mergeCells count="5">
    <mergeCell ref="B1:F1"/>
    <mergeCell ref="C3:D3"/>
    <mergeCell ref="E3:F3"/>
    <mergeCell ref="C23:D23"/>
    <mergeCell ref="E23:F23"/>
  </mergeCells>
  <pageMargins left="0.7" right="0.7" top="0.75" bottom="0.75" header="0.3" footer="0.3"/>
  <pageSetup paperSize="9" scale="69"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B1:G60"/>
  <sheetViews>
    <sheetView view="pageBreakPreview" zoomScaleSheetLayoutView="100" workbookViewId="0">
      <selection activeCell="D4" sqref="C4:F53"/>
    </sheetView>
  </sheetViews>
  <sheetFormatPr defaultRowHeight="15.75"/>
  <cols>
    <col min="1" max="1" width="9.140625" style="1501"/>
    <col min="2" max="2" width="2.28515625" style="1501" customWidth="1"/>
    <col min="3" max="3" width="5" style="1501" customWidth="1"/>
    <col min="4" max="4" width="98.42578125" style="1501" customWidth="1"/>
    <col min="5" max="5" width="19.140625" style="1501" customWidth="1"/>
    <col min="6" max="6" width="14" style="1501" customWidth="1"/>
    <col min="7" max="7" width="1.28515625" style="1501" customWidth="1"/>
    <col min="8" max="16384" width="9.140625" style="1501"/>
  </cols>
  <sheetData>
    <row r="1" spans="2:7" ht="18.75">
      <c r="C1" s="1732" t="s">
        <v>24</v>
      </c>
      <c r="D1" s="1732"/>
      <c r="E1" s="1732"/>
      <c r="F1" s="1732"/>
      <c r="G1" s="1614"/>
    </row>
    <row r="2" spans="2:7" ht="19.5" thickBot="1">
      <c r="C2" s="1579"/>
      <c r="D2" s="1579"/>
      <c r="E2" s="1579"/>
      <c r="F2" s="1579"/>
      <c r="G2" s="1614"/>
    </row>
    <row r="3" spans="2:7">
      <c r="B3" s="1580"/>
      <c r="C3" s="1581"/>
      <c r="D3" s="1581"/>
      <c r="E3" s="1581"/>
      <c r="F3" s="1581"/>
      <c r="G3" s="1582"/>
    </row>
    <row r="4" spans="2:7" ht="17.25" thickBot="1">
      <c r="B4" s="1583"/>
      <c r="C4" s="1615" t="s">
        <v>961</v>
      </c>
      <c r="D4" s="1585"/>
      <c r="E4" s="1585"/>
      <c r="F4" s="1585"/>
      <c r="G4" s="1586"/>
    </row>
    <row r="5" spans="2:7" ht="17.25" customHeight="1">
      <c r="B5" s="1583"/>
      <c r="C5" s="1616" t="s">
        <v>962</v>
      </c>
      <c r="D5" s="1616"/>
      <c r="E5" s="1595"/>
      <c r="F5" s="1595"/>
      <c r="G5" s="1586"/>
    </row>
    <row r="6" spans="2:7" ht="16.5" thickBot="1">
      <c r="B6" s="1583"/>
      <c r="C6" s="1500"/>
      <c r="D6" s="1500"/>
      <c r="E6" s="1500"/>
      <c r="F6" s="1500"/>
      <c r="G6" s="1586"/>
    </row>
    <row r="7" spans="2:7" ht="17.25" thickBot="1">
      <c r="B7" s="1583"/>
      <c r="C7" s="1617" t="s">
        <v>25</v>
      </c>
      <c r="D7" s="1618" t="s">
        <v>26</v>
      </c>
      <c r="E7" s="1619" t="s">
        <v>27</v>
      </c>
      <c r="F7" s="1619" t="s">
        <v>28</v>
      </c>
      <c r="G7" s="1620"/>
    </row>
    <row r="8" spans="2:7" s="1624" customFormat="1" ht="18" customHeight="1">
      <c r="B8" s="1621"/>
      <c r="C8" s="1622">
        <v>1</v>
      </c>
      <c r="D8" s="1623" t="s">
        <v>848</v>
      </c>
      <c r="E8" s="1408">
        <v>1220777540</v>
      </c>
      <c r="F8" s="1409">
        <v>75</v>
      </c>
      <c r="G8" s="1410"/>
    </row>
    <row r="9" spans="2:7" s="1624" customFormat="1" ht="18" customHeight="1">
      <c r="B9" s="1621"/>
      <c r="C9" s="1625">
        <v>2</v>
      </c>
      <c r="D9" s="1626" t="s">
        <v>459</v>
      </c>
      <c r="E9" s="1435">
        <v>88345465</v>
      </c>
      <c r="F9" s="1436">
        <v>5.43</v>
      </c>
      <c r="G9" s="1410"/>
    </row>
    <row r="10" spans="2:7" s="1624" customFormat="1" ht="18" customHeight="1">
      <c r="B10" s="1621"/>
      <c r="C10" s="1627">
        <v>3</v>
      </c>
      <c r="D10" s="1628" t="s">
        <v>894</v>
      </c>
      <c r="E10" s="1435">
        <v>64155320</v>
      </c>
      <c r="F10" s="1436">
        <v>3.94</v>
      </c>
      <c r="G10" s="1410"/>
    </row>
    <row r="11" spans="2:7" s="1624" customFormat="1" ht="18" customHeight="1">
      <c r="B11" s="1621"/>
      <c r="C11" s="1627">
        <v>4</v>
      </c>
      <c r="D11" s="1628" t="s">
        <v>30</v>
      </c>
      <c r="E11" s="1435">
        <v>44990502</v>
      </c>
      <c r="F11" s="1436">
        <v>2.76</v>
      </c>
      <c r="G11" s="1410"/>
    </row>
    <row r="12" spans="2:7" s="1624" customFormat="1" ht="18" customHeight="1">
      <c r="B12" s="1621"/>
      <c r="C12" s="1627">
        <v>5</v>
      </c>
      <c r="D12" s="1628" t="s">
        <v>858</v>
      </c>
      <c r="E12" s="1411">
        <v>16914702</v>
      </c>
      <c r="F12" s="1412">
        <v>1.04</v>
      </c>
      <c r="G12" s="1410"/>
    </row>
    <row r="13" spans="2:7" s="1624" customFormat="1" ht="18" customHeight="1">
      <c r="B13" s="1621"/>
      <c r="C13" s="1627">
        <v>6</v>
      </c>
      <c r="D13" s="1628" t="s">
        <v>33</v>
      </c>
      <c r="E13" s="1411">
        <v>11800434</v>
      </c>
      <c r="F13" s="1412">
        <v>0.72</v>
      </c>
      <c r="G13" s="1410"/>
    </row>
    <row r="14" spans="2:7" s="1624" customFormat="1" ht="18" customHeight="1">
      <c r="B14" s="1621"/>
      <c r="C14" s="1627">
        <v>7</v>
      </c>
      <c r="D14" s="1628" t="s">
        <v>850</v>
      </c>
      <c r="E14" s="1411">
        <v>8087592</v>
      </c>
      <c r="F14" s="1412">
        <v>0.5</v>
      </c>
      <c r="G14" s="1410"/>
    </row>
    <row r="15" spans="2:7" s="1624" customFormat="1" ht="18" customHeight="1">
      <c r="B15" s="1621"/>
      <c r="C15" s="1627">
        <v>8</v>
      </c>
      <c r="D15" s="1628" t="s">
        <v>849</v>
      </c>
      <c r="E15" s="1411">
        <v>7235629</v>
      </c>
      <c r="F15" s="1412">
        <v>0.44</v>
      </c>
      <c r="G15" s="1410"/>
    </row>
    <row r="16" spans="2:7" s="1624" customFormat="1" ht="18" customHeight="1">
      <c r="B16" s="1621"/>
      <c r="C16" s="1627">
        <v>9</v>
      </c>
      <c r="D16" s="1628" t="s">
        <v>37</v>
      </c>
      <c r="E16" s="1411">
        <v>5104933</v>
      </c>
      <c r="F16" s="1412">
        <v>0.31</v>
      </c>
      <c r="G16" s="1410"/>
    </row>
    <row r="17" spans="2:7" s="1624" customFormat="1" ht="18" customHeight="1">
      <c r="B17" s="1621"/>
      <c r="C17" s="1627">
        <v>10</v>
      </c>
      <c r="D17" s="1628" t="s">
        <v>895</v>
      </c>
      <c r="E17" s="1411">
        <v>5000000</v>
      </c>
      <c r="F17" s="1412">
        <v>0.31</v>
      </c>
      <c r="G17" s="1410"/>
    </row>
    <row r="18" spans="2:7" s="1624" customFormat="1" ht="18" customHeight="1">
      <c r="B18" s="1621"/>
      <c r="C18" s="1627">
        <v>11</v>
      </c>
      <c r="D18" s="1628" t="s">
        <v>896</v>
      </c>
      <c r="E18" s="1411">
        <v>4969904</v>
      </c>
      <c r="F18" s="1412">
        <v>0.31</v>
      </c>
      <c r="G18" s="1410"/>
    </row>
    <row r="19" spans="2:7" s="1624" customFormat="1" ht="18" customHeight="1">
      <c r="B19" s="1621"/>
      <c r="C19" s="1627">
        <v>12</v>
      </c>
      <c r="D19" s="1628" t="s">
        <v>897</v>
      </c>
      <c r="E19" s="1411">
        <v>4768168</v>
      </c>
      <c r="F19" s="1412">
        <v>0.28999999999999998</v>
      </c>
      <c r="G19" s="1410"/>
    </row>
    <row r="20" spans="2:7" s="1624" customFormat="1" ht="18" customHeight="1">
      <c r="B20" s="1621"/>
      <c r="C20" s="1627">
        <v>13</v>
      </c>
      <c r="D20" s="1628" t="s">
        <v>898</v>
      </c>
      <c r="E20" s="1411">
        <v>4176170</v>
      </c>
      <c r="F20" s="1412">
        <v>0.26</v>
      </c>
      <c r="G20" s="1410"/>
    </row>
    <row r="21" spans="2:7" s="1624" customFormat="1" ht="18" customHeight="1">
      <c r="B21" s="1621"/>
      <c r="C21" s="1627">
        <v>14</v>
      </c>
      <c r="D21" s="1628" t="s">
        <v>868</v>
      </c>
      <c r="E21" s="1411">
        <v>3243679</v>
      </c>
      <c r="F21" s="1412">
        <v>0.2</v>
      </c>
      <c r="G21" s="1410"/>
    </row>
    <row r="22" spans="2:7" s="1624" customFormat="1" ht="18" customHeight="1">
      <c r="B22" s="1621"/>
      <c r="C22" s="1627">
        <v>15</v>
      </c>
      <c r="D22" s="1628" t="s">
        <v>899</v>
      </c>
      <c r="E22" s="1411">
        <v>3000000</v>
      </c>
      <c r="F22" s="1412">
        <v>0.18</v>
      </c>
      <c r="G22" s="1410"/>
    </row>
    <row r="23" spans="2:7" s="1624" customFormat="1" ht="18" customHeight="1">
      <c r="B23" s="1621"/>
      <c r="C23" s="1627">
        <v>16</v>
      </c>
      <c r="D23" s="1628" t="s">
        <v>859</v>
      </c>
      <c r="E23" s="1411">
        <v>2802101</v>
      </c>
      <c r="F23" s="1412">
        <v>0.17</v>
      </c>
      <c r="G23" s="1410"/>
    </row>
    <row r="24" spans="2:7" s="1624" customFormat="1" ht="18" customHeight="1">
      <c r="B24" s="1621"/>
      <c r="C24" s="1627">
        <v>17</v>
      </c>
      <c r="D24" s="1628" t="s">
        <v>851</v>
      </c>
      <c r="E24" s="1411">
        <v>2065214</v>
      </c>
      <c r="F24" s="1412">
        <v>0.13</v>
      </c>
      <c r="G24" s="1410"/>
    </row>
    <row r="25" spans="2:7" s="1624" customFormat="1" ht="18" customHeight="1">
      <c r="B25" s="1621"/>
      <c r="C25" s="1627">
        <v>18</v>
      </c>
      <c r="D25" s="1628" t="s">
        <v>900</v>
      </c>
      <c r="E25" s="1411">
        <v>2054702</v>
      </c>
      <c r="F25" s="1412">
        <v>0.13</v>
      </c>
      <c r="G25" s="1410"/>
    </row>
    <row r="26" spans="2:7" s="1624" customFormat="1" ht="27.75" customHeight="1">
      <c r="B26" s="1621"/>
      <c r="C26" s="1627">
        <v>19</v>
      </c>
      <c r="D26" s="1629" t="s">
        <v>881</v>
      </c>
      <c r="E26" s="1411">
        <v>1602381</v>
      </c>
      <c r="F26" s="1412">
        <v>0.1</v>
      </c>
      <c r="G26" s="1410"/>
    </row>
    <row r="27" spans="2:7" s="1624" customFormat="1" ht="18" customHeight="1">
      <c r="B27" s="1621"/>
      <c r="C27" s="1627">
        <v>20</v>
      </c>
      <c r="D27" s="1628" t="s">
        <v>901</v>
      </c>
      <c r="E27" s="1411">
        <v>1510525</v>
      </c>
      <c r="F27" s="1412">
        <v>0.09</v>
      </c>
      <c r="G27" s="1410"/>
    </row>
    <row r="28" spans="2:7" s="1624" customFormat="1">
      <c r="B28" s="1621"/>
      <c r="C28" s="1627"/>
      <c r="D28" s="1630"/>
      <c r="E28" s="1411"/>
      <c r="F28" s="1412"/>
      <c r="G28" s="1410"/>
    </row>
    <row r="29" spans="2:7" s="1624" customFormat="1" ht="18" hidden="1" customHeight="1">
      <c r="B29" s="1621"/>
      <c r="C29" s="1625"/>
      <c r="D29" s="1628"/>
      <c r="E29" s="1411"/>
      <c r="F29" s="1412"/>
      <c r="G29" s="1410"/>
    </row>
    <row r="30" spans="2:7">
      <c r="B30" s="1583"/>
      <c r="C30" s="929"/>
      <c r="D30" s="929"/>
      <c r="E30" s="888"/>
      <c r="F30" s="1631"/>
      <c r="G30" s="1632"/>
    </row>
    <row r="31" spans="2:7" ht="17.25" thickBot="1">
      <c r="B31" s="1583"/>
      <c r="C31" s="1633" t="s">
        <v>624</v>
      </c>
      <c r="D31" s="932"/>
      <c r="E31" s="1634"/>
      <c r="F31" s="1635"/>
      <c r="G31" s="930"/>
    </row>
    <row r="32" spans="2:7" s="1624" customFormat="1" ht="37.5" customHeight="1">
      <c r="B32" s="1621"/>
      <c r="C32" s="1778" t="s">
        <v>963</v>
      </c>
      <c r="D32" s="1778"/>
      <c r="E32" s="1778"/>
      <c r="F32" s="1778"/>
      <c r="G32" s="1636"/>
    </row>
    <row r="33" spans="2:7">
      <c r="B33" s="1583"/>
      <c r="C33" s="1500"/>
      <c r="D33" s="1500"/>
      <c r="E33" s="1500"/>
      <c r="F33" s="1500"/>
      <c r="G33" s="1586"/>
    </row>
    <row r="34" spans="2:7" ht="17.25" thickBot="1">
      <c r="B34" s="1583"/>
      <c r="C34" s="1633" t="str">
        <f>"Directors'/ CEO's Holding in Shares as at "&amp;[6]Cover!O53</f>
        <v>Directors'/ CEO's Holding in Shares as at 30th September 2020</v>
      </c>
      <c r="D34" s="932"/>
      <c r="E34" s="932"/>
      <c r="F34" s="932"/>
      <c r="G34" s="930"/>
    </row>
    <row r="35" spans="2:7" s="1638" customFormat="1" ht="18" customHeight="1">
      <c r="B35" s="1637"/>
      <c r="C35" s="1623" t="str">
        <f>"The number of ordinary shares held by the directors and CEO as at "&amp;[6]Cover!O53&amp;" were as follows;"</f>
        <v>The number of ordinary shares held by the directors and CEO as at 30th September 2020 were as follows;</v>
      </c>
      <c r="D35" s="1623"/>
      <c r="E35" s="1623"/>
      <c r="F35" s="1623"/>
      <c r="G35" s="1636"/>
    </row>
    <row r="36" spans="2:7" ht="16.5" thickBot="1">
      <c r="B36" s="1583"/>
      <c r="C36" s="929"/>
      <c r="D36" s="929"/>
      <c r="E36" s="929"/>
      <c r="F36" s="929"/>
      <c r="G36" s="930"/>
    </row>
    <row r="37" spans="2:7" ht="17.25" thickBot="1">
      <c r="B37" s="918"/>
      <c r="C37" s="1639" t="s">
        <v>42</v>
      </c>
      <c r="D37" s="1639"/>
      <c r="E37" s="1617" t="s">
        <v>43</v>
      </c>
      <c r="F37" s="1617" t="s">
        <v>27</v>
      </c>
      <c r="G37" s="1640"/>
    </row>
    <row r="38" spans="2:7" s="1624" customFormat="1" ht="16.5" customHeight="1">
      <c r="B38" s="1621"/>
      <c r="C38" s="1777" t="s">
        <v>902</v>
      </c>
      <c r="D38" s="1777"/>
      <c r="E38" s="1628" t="s">
        <v>45</v>
      </c>
      <c r="F38" s="1414">
        <v>143054</v>
      </c>
      <c r="G38" s="1413"/>
    </row>
    <row r="39" spans="2:7" s="1624" customFormat="1" hidden="1">
      <c r="B39" s="1621"/>
      <c r="C39" s="1777" t="s">
        <v>903</v>
      </c>
      <c r="D39" s="1777"/>
      <c r="E39" s="1628" t="s">
        <v>46</v>
      </c>
      <c r="F39" s="1414">
        <v>0</v>
      </c>
      <c r="G39" s="1413"/>
    </row>
    <row r="40" spans="2:7" s="1624" customFormat="1" ht="15.75" customHeight="1">
      <c r="B40" s="1621"/>
      <c r="C40" s="1777" t="s">
        <v>734</v>
      </c>
      <c r="D40" s="1777"/>
      <c r="E40" s="1628" t="s">
        <v>46</v>
      </c>
      <c r="F40" s="1414">
        <v>247267</v>
      </c>
      <c r="G40" s="1413"/>
    </row>
    <row r="41" spans="2:7" s="1624" customFormat="1" ht="15.75" customHeight="1">
      <c r="B41" s="1621"/>
      <c r="C41" s="1777" t="s">
        <v>904</v>
      </c>
      <c r="D41" s="1777"/>
      <c r="E41" s="1628" t="s">
        <v>46</v>
      </c>
      <c r="F41" s="1414">
        <v>0</v>
      </c>
      <c r="G41" s="1413"/>
    </row>
    <row r="42" spans="2:7" s="1624" customFormat="1" ht="15.75" customHeight="1">
      <c r="B42" s="1621"/>
      <c r="C42" s="1777" t="s">
        <v>905</v>
      </c>
      <c r="D42" s="1777"/>
      <c r="E42" s="1628" t="s">
        <v>46</v>
      </c>
      <c r="F42" s="1414">
        <v>0</v>
      </c>
      <c r="G42" s="1413"/>
    </row>
    <row r="43" spans="2:7" s="1624" customFormat="1" ht="15.75" customHeight="1">
      <c r="B43" s="1621"/>
      <c r="C43" s="1777" t="s">
        <v>906</v>
      </c>
      <c r="D43" s="1777"/>
      <c r="E43" s="1628" t="s">
        <v>46</v>
      </c>
      <c r="F43" s="1414">
        <v>49968</v>
      </c>
      <c r="G43" s="1413"/>
    </row>
    <row r="44" spans="2:7" s="1624" customFormat="1" ht="15.75" customHeight="1">
      <c r="B44" s="1621"/>
      <c r="C44" s="1777" t="s">
        <v>907</v>
      </c>
      <c r="D44" s="1777"/>
      <c r="E44" s="1628" t="s">
        <v>46</v>
      </c>
      <c r="F44" s="1414">
        <v>0</v>
      </c>
      <c r="G44" s="1413"/>
    </row>
    <row r="45" spans="2:7" s="1624" customFormat="1" ht="15.75" customHeight="1">
      <c r="B45" s="1621"/>
      <c r="C45" s="1777" t="s">
        <v>908</v>
      </c>
      <c r="D45" s="1777"/>
      <c r="E45" s="1628" t="s">
        <v>46</v>
      </c>
      <c r="F45" s="1414">
        <v>0</v>
      </c>
      <c r="G45" s="1413"/>
    </row>
    <row r="46" spans="2:7" s="1624" customFormat="1" ht="15.75" customHeight="1">
      <c r="B46" s="1621"/>
      <c r="C46" s="1777" t="s">
        <v>909</v>
      </c>
      <c r="D46" s="1777"/>
      <c r="E46" s="1628" t="s">
        <v>46</v>
      </c>
      <c r="F46" s="1414">
        <v>0</v>
      </c>
      <c r="G46" s="1413"/>
    </row>
    <row r="47" spans="2:7" s="1624" customFormat="1" ht="15.75" customHeight="1">
      <c r="B47" s="1621"/>
      <c r="C47" s="1641" t="s">
        <v>910</v>
      </c>
      <c r="D47" s="1629"/>
      <c r="E47" s="1628" t="s">
        <v>46</v>
      </c>
      <c r="F47" s="1414">
        <v>0</v>
      </c>
      <c r="G47" s="1413"/>
    </row>
    <row r="48" spans="2:7" s="1624" customFormat="1" ht="15.75" customHeight="1">
      <c r="B48" s="1621"/>
      <c r="C48" s="1777" t="s">
        <v>860</v>
      </c>
      <c r="D48" s="1777"/>
      <c r="E48" s="1628" t="s">
        <v>49</v>
      </c>
      <c r="F48" s="1414">
        <v>0</v>
      </c>
      <c r="G48" s="1413"/>
    </row>
    <row r="49" spans="2:7" s="1624" customFormat="1" ht="15.75" customHeight="1">
      <c r="B49" s="1621"/>
      <c r="C49" s="1642"/>
      <c r="D49" s="1642"/>
      <c r="E49" s="1643"/>
      <c r="F49" s="1467"/>
      <c r="G49" s="1413"/>
    </row>
    <row r="50" spans="2:7" s="1624" customFormat="1" ht="16.5" customHeight="1" thickBot="1">
      <c r="B50" s="1621"/>
      <c r="C50" s="1633" t="s">
        <v>869</v>
      </c>
      <c r="D50" s="932"/>
      <c r="E50" s="932"/>
      <c r="F50" s="932"/>
      <c r="G50" s="1413"/>
    </row>
    <row r="51" spans="2:7" s="1624" customFormat="1" ht="16.5" customHeight="1">
      <c r="B51" s="1621"/>
      <c r="C51" s="1778" t="s">
        <v>964</v>
      </c>
      <c r="D51" s="1778"/>
      <c r="E51" s="1778"/>
      <c r="F51" s="1778"/>
      <c r="G51" s="1413"/>
    </row>
    <row r="52" spans="2:7" s="1624" customFormat="1" ht="16.5" customHeight="1">
      <c r="B52" s="1621"/>
      <c r="C52" s="1642"/>
      <c r="D52" s="1642"/>
      <c r="E52" s="1643"/>
      <c r="F52" s="1467"/>
      <c r="G52" s="1413"/>
    </row>
    <row r="53" spans="2:7" s="1624" customFormat="1" ht="36.75" customHeight="1">
      <c r="B53" s="1621"/>
      <c r="C53" s="1779" t="s">
        <v>870</v>
      </c>
      <c r="D53" s="1779"/>
      <c r="E53" s="1779"/>
      <c r="F53" s="1779"/>
      <c r="G53" s="1413"/>
    </row>
    <row r="54" spans="2:7" s="1624" customFormat="1" ht="16.5" customHeight="1">
      <c r="B54" s="1621"/>
      <c r="C54" s="1642"/>
      <c r="D54" s="1642"/>
      <c r="E54" s="1643"/>
      <c r="F54" s="1467"/>
      <c r="G54" s="1413"/>
    </row>
    <row r="55" spans="2:7" s="1624" customFormat="1" ht="16.5" customHeight="1">
      <c r="B55" s="1621"/>
      <c r="C55" s="1642"/>
      <c r="D55" s="1642"/>
      <c r="E55" s="1643"/>
      <c r="F55" s="1467"/>
      <c r="G55" s="1413"/>
    </row>
    <row r="56" spans="2:7" s="1624" customFormat="1" ht="9.75" customHeight="1">
      <c r="B56" s="1621"/>
      <c r="C56" s="1642"/>
      <c r="D56" s="1642"/>
      <c r="E56" s="1643"/>
      <c r="F56" s="1467"/>
      <c r="G56" s="1413"/>
    </row>
    <row r="57" spans="2:7" s="1624" customFormat="1" ht="12" customHeight="1">
      <c r="B57" s="1621"/>
      <c r="C57" s="1642"/>
      <c r="D57" s="1642"/>
      <c r="E57" s="1643"/>
      <c r="F57" s="1467"/>
      <c r="G57" s="1413"/>
    </row>
    <row r="58" spans="2:7" s="1624" customFormat="1" ht="16.5" customHeight="1">
      <c r="B58" s="1621"/>
      <c r="C58" s="1642"/>
      <c r="D58" s="1642"/>
      <c r="E58" s="1643"/>
      <c r="F58" s="1467"/>
      <c r="G58" s="1413"/>
    </row>
    <row r="59" spans="2:7" s="1624" customFormat="1" ht="16.5" customHeight="1">
      <c r="B59" s="1621"/>
      <c r="C59" s="1642"/>
      <c r="D59" s="1642"/>
      <c r="E59" s="1643"/>
      <c r="F59" s="1467"/>
      <c r="G59" s="1413"/>
    </row>
    <row r="60" spans="2:7" ht="16.5" thickBot="1">
      <c r="B60" s="1612"/>
      <c r="C60" s="932"/>
      <c r="D60" s="932"/>
      <c r="E60" s="932"/>
      <c r="F60" s="1585"/>
      <c r="G60" s="1613"/>
    </row>
  </sheetData>
  <mergeCells count="14">
    <mergeCell ref="C48:D48"/>
    <mergeCell ref="C51:F51"/>
    <mergeCell ref="C53:F53"/>
    <mergeCell ref="C46:D46"/>
    <mergeCell ref="C1:F1"/>
    <mergeCell ref="C32:F32"/>
    <mergeCell ref="C38:D38"/>
    <mergeCell ref="C39:D39"/>
    <mergeCell ref="C40:D40"/>
    <mergeCell ref="C41:D41"/>
    <mergeCell ref="C42:D42"/>
    <mergeCell ref="C43:D43"/>
    <mergeCell ref="C44:D44"/>
    <mergeCell ref="C45:D45"/>
  </mergeCells>
  <pageMargins left="0.56999999999999995" right="0.23" top="0.7" bottom="0.42" header="0.3" footer="0.3"/>
  <pageSetup paperSize="9" scale="69" orientation="portrait" r:id="rId1"/>
  <headerFooter>
    <oddFooter xml:space="preserve">&amp;C&amp;"Book Antiqua,Regular"&amp;12 </oddFooter>
  </headerFooter>
</worksheet>
</file>

<file path=xl/worksheets/sheet26.xml><?xml version="1.0" encoding="utf-8"?>
<worksheet xmlns="http://schemas.openxmlformats.org/spreadsheetml/2006/main" xmlns:r="http://schemas.openxmlformats.org/officeDocument/2006/relationships">
  <sheetPr>
    <tabColor rgb="FFFF0000"/>
    <pageSetUpPr fitToPage="1"/>
  </sheetPr>
  <dimension ref="A1:F289"/>
  <sheetViews>
    <sheetView view="pageBreakPreview" topLeftCell="A25" zoomScaleSheetLayoutView="100" workbookViewId="0">
      <selection activeCell="H48" sqref="H48"/>
    </sheetView>
  </sheetViews>
  <sheetFormatPr defaultRowHeight="15.75"/>
  <cols>
    <col min="1" max="1" width="1.85546875" style="861" customWidth="1"/>
    <col min="2" max="2" width="75.42578125" style="861" bestFit="1" customWidth="1"/>
    <col min="3" max="3" width="14.5703125" style="861" bestFit="1" customWidth="1"/>
    <col min="4" max="4" width="13.85546875" style="861" customWidth="1"/>
    <col min="5" max="5" width="1.85546875" style="861" customWidth="1"/>
    <col min="6" max="16384" width="9.140625" style="861"/>
  </cols>
  <sheetData>
    <row r="1" spans="1:6" ht="24.75" customHeight="1">
      <c r="B1" s="1753" t="s">
        <v>834</v>
      </c>
      <c r="C1" s="1753"/>
      <c r="D1" s="1753"/>
      <c r="E1" s="1407"/>
    </row>
    <row r="2" spans="1:6" ht="21.75" customHeight="1">
      <c r="B2" s="1753" t="s">
        <v>50</v>
      </c>
      <c r="C2" s="1753"/>
      <c r="D2" s="1753"/>
    </row>
    <row r="3" spans="1:6" s="948" customFormat="1" ht="18.75">
      <c r="B3" s="1753" t="s">
        <v>879</v>
      </c>
      <c r="C3" s="1753"/>
      <c r="D3" s="1753"/>
      <c r="E3" s="949"/>
    </row>
    <row r="4" spans="1:6" ht="16.5" thickBot="1"/>
    <row r="5" spans="1:6">
      <c r="A5" s="1021"/>
      <c r="B5" s="1022"/>
      <c r="C5" s="1022"/>
      <c r="D5" s="1022"/>
      <c r="E5" s="1023"/>
    </row>
    <row r="6" spans="1:6" ht="17.25" thickBot="1">
      <c r="A6" s="1024"/>
      <c r="B6" s="535"/>
      <c r="C6" s="1752" t="s">
        <v>15</v>
      </c>
      <c r="D6" s="1752"/>
      <c r="E6" s="1117"/>
    </row>
    <row r="7" spans="1:6" ht="16.5">
      <c r="A7" s="1024"/>
      <c r="B7" s="535"/>
      <c r="C7" s="975" t="s">
        <v>51</v>
      </c>
      <c r="D7" s="1101" t="s">
        <v>51</v>
      </c>
      <c r="E7" s="1117"/>
    </row>
    <row r="8" spans="1:6" ht="16.5">
      <c r="A8" s="1024"/>
      <c r="B8" s="535"/>
      <c r="C8" s="1099" t="s">
        <v>878</v>
      </c>
      <c r="D8" s="1101" t="s">
        <v>866</v>
      </c>
      <c r="E8" s="1117"/>
    </row>
    <row r="9" spans="1:6" s="535" customFormat="1" ht="17.25" thickBot="1">
      <c r="A9" s="1024"/>
      <c r="B9" s="1045" t="s">
        <v>831</v>
      </c>
      <c r="C9" s="1102"/>
      <c r="D9" s="1045"/>
      <c r="E9" s="1121"/>
    </row>
    <row r="10" spans="1:6" s="535" customFormat="1" ht="16.5">
      <c r="A10" s="1024"/>
      <c r="B10" s="1112"/>
      <c r="C10" s="1114"/>
      <c r="D10" s="1112"/>
      <c r="E10" s="1121"/>
    </row>
    <row r="11" spans="1:6" ht="16.5">
      <c r="A11" s="1024"/>
      <c r="B11" s="986" t="s">
        <v>814</v>
      </c>
      <c r="C11" s="1105">
        <v>27230283</v>
      </c>
      <c r="D11" s="709">
        <v>24430476</v>
      </c>
      <c r="E11" s="1118"/>
    </row>
    <row r="12" spans="1:6" ht="16.5">
      <c r="A12" s="1024"/>
      <c r="B12" s="986" t="s">
        <v>815</v>
      </c>
      <c r="C12" s="1105">
        <v>28697455</v>
      </c>
      <c r="D12" s="709">
        <v>25737546</v>
      </c>
      <c r="E12" s="1118"/>
    </row>
    <row r="13" spans="1:6" ht="16.5">
      <c r="A13" s="1024"/>
      <c r="B13" s="986" t="s">
        <v>882</v>
      </c>
      <c r="C13" s="1255">
        <v>15.29</v>
      </c>
      <c r="D13" s="1419">
        <v>13.58</v>
      </c>
      <c r="E13" s="1122"/>
    </row>
    <row r="14" spans="1:6" ht="16.5">
      <c r="A14" s="1024"/>
      <c r="B14" s="986" t="s">
        <v>883</v>
      </c>
      <c r="C14" s="1255">
        <v>16.11</v>
      </c>
      <c r="D14" s="1419">
        <v>14.31</v>
      </c>
      <c r="E14" s="1122"/>
    </row>
    <row r="15" spans="1:6" ht="16.5">
      <c r="A15" s="1024"/>
      <c r="B15" s="986" t="s">
        <v>822</v>
      </c>
      <c r="C15" s="1255">
        <v>30.435904016954179</v>
      </c>
      <c r="D15" s="1419">
        <v>38.369999999999997</v>
      </c>
      <c r="E15" s="1123"/>
      <c r="F15" s="1434"/>
    </row>
    <row r="16" spans="1:6" ht="16.5">
      <c r="A16" s="1024"/>
      <c r="B16" s="986"/>
      <c r="C16" s="1404"/>
      <c r="D16" s="1207"/>
      <c r="E16" s="1117"/>
    </row>
    <row r="17" spans="1:5" ht="17.25" thickBot="1">
      <c r="A17" s="1024"/>
      <c r="B17" s="1045" t="s">
        <v>832</v>
      </c>
      <c r="C17" s="981"/>
      <c r="D17" s="982"/>
      <c r="E17" s="1117"/>
    </row>
    <row r="18" spans="1:5" ht="16.5">
      <c r="A18" s="1024"/>
      <c r="B18" s="1112"/>
      <c r="C18" s="975"/>
      <c r="D18" s="1113"/>
      <c r="E18" s="1117"/>
    </row>
    <row r="19" spans="1:5" ht="16.5">
      <c r="A19" s="1024"/>
      <c r="B19" s="1041" t="s">
        <v>821</v>
      </c>
      <c r="C19" s="1475">
        <v>10322099</v>
      </c>
      <c r="D19" s="709">
        <v>6500756</v>
      </c>
      <c r="E19" s="1120"/>
    </row>
    <row r="20" spans="1:5" ht="16.5">
      <c r="A20" s="1024"/>
      <c r="B20" s="1041" t="s">
        <v>54</v>
      </c>
      <c r="C20" s="1476">
        <v>6.63</v>
      </c>
      <c r="D20" s="1419">
        <v>4.2300000000000004</v>
      </c>
      <c r="E20" s="1117"/>
    </row>
    <row r="21" spans="1:5" ht="16.5">
      <c r="A21" s="1024"/>
      <c r="B21" s="1041" t="s">
        <v>816</v>
      </c>
      <c r="C21" s="1476">
        <v>1.28</v>
      </c>
      <c r="D21" s="1419">
        <v>0.8</v>
      </c>
      <c r="E21" s="1117"/>
    </row>
    <row r="22" spans="1:5" ht="16.5">
      <c r="A22" s="1024"/>
      <c r="B22" s="1041"/>
      <c r="C22" s="1110"/>
      <c r="D22" s="1111"/>
      <c r="E22" s="1117"/>
    </row>
    <row r="23" spans="1:5" ht="17.25" thickBot="1">
      <c r="A23" s="1024"/>
      <c r="B23" s="1045" t="s">
        <v>524</v>
      </c>
      <c r="C23" s="1102"/>
      <c r="D23" s="1045"/>
      <c r="E23" s="1121"/>
    </row>
    <row r="24" spans="1:5" ht="16.5">
      <c r="A24" s="1024"/>
      <c r="B24" s="1112"/>
      <c r="C24" s="1114"/>
      <c r="D24" s="1112"/>
      <c r="E24" s="1121"/>
    </row>
    <row r="25" spans="1:5" ht="16.5">
      <c r="A25" s="1024"/>
      <c r="B25" s="1041" t="s">
        <v>823</v>
      </c>
      <c r="C25" s="1255">
        <f>0.0978284422254116*100</f>
        <v>9.7828442225411596</v>
      </c>
      <c r="D25" s="1419">
        <v>9.4</v>
      </c>
      <c r="E25" s="1124"/>
    </row>
    <row r="26" spans="1:5" ht="16.5">
      <c r="A26" s="1024"/>
      <c r="B26" s="986" t="s">
        <v>824</v>
      </c>
      <c r="C26" s="1255">
        <f>0.0300739235834823*100</f>
        <v>3.00739235834823</v>
      </c>
      <c r="D26" s="1419">
        <v>3.64</v>
      </c>
      <c r="E26" s="1124"/>
    </row>
    <row r="27" spans="1:5" ht="16.5">
      <c r="A27" s="1024"/>
      <c r="B27" s="986" t="s">
        <v>833</v>
      </c>
      <c r="C27" s="1255">
        <f>0.114376327314242*100</f>
        <v>11.4376327314242</v>
      </c>
      <c r="D27" s="1419">
        <v>15.36</v>
      </c>
      <c r="E27" s="1124"/>
    </row>
    <row r="28" spans="1:5" ht="16.5">
      <c r="A28" s="1024"/>
      <c r="B28" s="986"/>
      <c r="C28" s="1106"/>
      <c r="D28" s="1107"/>
      <c r="E28" s="1124"/>
    </row>
    <row r="29" spans="1:5" ht="17.25" thickBot="1">
      <c r="A29" s="1024"/>
      <c r="B29" s="1045" t="s">
        <v>817</v>
      </c>
      <c r="C29" s="981"/>
      <c r="D29" s="982"/>
      <c r="E29" s="1117"/>
    </row>
    <row r="30" spans="1:5" ht="16.5">
      <c r="A30" s="1024"/>
      <c r="B30" s="1112"/>
      <c r="C30" s="975"/>
      <c r="D30" s="1113"/>
      <c r="E30" s="1117"/>
    </row>
    <row r="31" spans="1:5" ht="16.5">
      <c r="A31" s="1024"/>
      <c r="B31" s="986" t="s">
        <v>364</v>
      </c>
      <c r="C31" s="1108">
        <v>12508424</v>
      </c>
      <c r="D31" s="709">
        <v>10610957.15</v>
      </c>
      <c r="E31" s="1119"/>
    </row>
    <row r="32" spans="1:5" ht="16.5">
      <c r="A32" s="1024"/>
      <c r="B32" s="986" t="s">
        <v>365</v>
      </c>
      <c r="C32" s="1108">
        <v>13011180</v>
      </c>
      <c r="D32" s="709">
        <v>11043030</v>
      </c>
      <c r="E32" s="1119"/>
    </row>
    <row r="33" spans="1:5" ht="16.5">
      <c r="A33" s="1024"/>
      <c r="B33" s="986" t="s">
        <v>366</v>
      </c>
      <c r="C33" s="1108">
        <v>8012870</v>
      </c>
      <c r="D33" s="709">
        <v>6813137.6299999999</v>
      </c>
      <c r="E33" s="1119"/>
    </row>
    <row r="34" spans="1:5" ht="16.5">
      <c r="A34" s="1024"/>
      <c r="B34" s="986" t="s">
        <v>367</v>
      </c>
      <c r="C34" s="1108">
        <v>8401890</v>
      </c>
      <c r="D34" s="709">
        <v>6966535</v>
      </c>
      <c r="E34" s="1119"/>
    </row>
    <row r="35" spans="1:5" ht="16.5">
      <c r="A35" s="1024"/>
      <c r="B35" s="986"/>
      <c r="C35" s="1108"/>
      <c r="D35" s="1109"/>
      <c r="E35" s="1124"/>
    </row>
    <row r="36" spans="1:5" ht="17.25" thickBot="1">
      <c r="A36" s="1024"/>
      <c r="B36" s="1045" t="s">
        <v>462</v>
      </c>
      <c r="C36" s="1103"/>
      <c r="D36" s="1104"/>
      <c r="E36" s="1124"/>
    </row>
    <row r="37" spans="1:5" ht="16.5">
      <c r="A37" s="1024"/>
      <c r="B37" s="1112"/>
      <c r="C37" s="1115"/>
      <c r="D37" s="1116"/>
      <c r="E37" s="1124"/>
    </row>
    <row r="38" spans="1:5" ht="16.5">
      <c r="A38" s="1024"/>
      <c r="B38" s="986" t="s">
        <v>168</v>
      </c>
      <c r="C38" s="1105">
        <v>2388</v>
      </c>
      <c r="D38" s="709">
        <v>2187</v>
      </c>
      <c r="E38" s="1118"/>
    </row>
    <row r="39" spans="1:5" ht="16.5">
      <c r="A39" s="1024"/>
      <c r="B39" s="986" t="s">
        <v>169</v>
      </c>
      <c r="C39" s="1105">
        <v>103</v>
      </c>
      <c r="D39" s="709">
        <v>103</v>
      </c>
      <c r="E39" s="1118"/>
    </row>
    <row r="40" spans="1:5" ht="16.5">
      <c r="A40" s="1024"/>
      <c r="B40" s="986" t="s">
        <v>463</v>
      </c>
      <c r="C40" s="1105">
        <v>101</v>
      </c>
      <c r="D40" s="709">
        <v>101</v>
      </c>
      <c r="E40" s="1118"/>
    </row>
    <row r="41" spans="1:5" ht="16.5">
      <c r="A41" s="1024"/>
      <c r="B41" s="986" t="s">
        <v>464</v>
      </c>
      <c r="C41" s="1105">
        <v>0</v>
      </c>
      <c r="D41" s="709">
        <v>0</v>
      </c>
      <c r="E41" s="1118"/>
    </row>
    <row r="42" spans="1:5" ht="17.25" thickBot="1">
      <c r="A42" s="1024"/>
      <c r="B42" s="535"/>
      <c r="C42" s="1102"/>
      <c r="D42" s="535"/>
      <c r="E42" s="1026"/>
    </row>
    <row r="43" spans="1:5" ht="9" customHeight="1">
      <c r="A43" s="1024"/>
      <c r="B43" s="535"/>
      <c r="C43" s="535"/>
      <c r="D43" s="535"/>
      <c r="E43" s="1026"/>
    </row>
    <row r="44" spans="1:5" ht="16.5" thickBot="1">
      <c r="A44" s="1035"/>
      <c r="B44" s="1125"/>
      <c r="C44" s="1125"/>
      <c r="D44" s="1125"/>
      <c r="E44" s="1126"/>
    </row>
    <row r="46" spans="1:5">
      <c r="B46" s="535"/>
      <c r="C46" s="535"/>
      <c r="D46" s="535"/>
      <c r="E46" s="535"/>
    </row>
    <row r="47" spans="1:5" ht="16.5">
      <c r="B47" s="535"/>
      <c r="C47" s="952"/>
      <c r="D47" s="952"/>
      <c r="E47" s="952"/>
    </row>
    <row r="48" spans="1:5" ht="16.5">
      <c r="B48" s="1082"/>
      <c r="C48" s="952"/>
      <c r="D48" s="952"/>
      <c r="E48" s="952"/>
    </row>
    <row r="49" spans="2:5">
      <c r="B49" s="1083"/>
      <c r="C49" s="535"/>
      <c r="D49" s="535"/>
      <c r="E49" s="535"/>
    </row>
    <row r="50" spans="2:5">
      <c r="B50" s="1083"/>
      <c r="C50" s="908"/>
      <c r="D50" s="1084"/>
      <c r="E50" s="1084"/>
    </row>
    <row r="51" spans="2:5">
      <c r="B51" s="1083"/>
      <c r="C51" s="908"/>
      <c r="D51" s="1084"/>
      <c r="E51" s="1084"/>
    </row>
    <row r="52" spans="2:5">
      <c r="B52" s="1083"/>
      <c r="C52" s="908"/>
      <c r="D52" s="1084"/>
      <c r="E52" s="1084"/>
    </row>
    <row r="53" spans="2:5">
      <c r="B53" s="1083"/>
      <c r="C53" s="908"/>
      <c r="D53" s="1084"/>
      <c r="E53" s="1084"/>
    </row>
    <row r="54" spans="2:5">
      <c r="B54" s="1083"/>
      <c r="C54" s="908"/>
      <c r="D54" s="1084"/>
      <c r="E54" s="1084"/>
    </row>
    <row r="55" spans="2:5">
      <c r="B55" s="1083"/>
      <c r="C55" s="908"/>
      <c r="D55" s="1084"/>
      <c r="E55" s="1084"/>
    </row>
    <row r="56" spans="2:5">
      <c r="B56" s="1083"/>
      <c r="C56" s="908"/>
      <c r="D56" s="1084"/>
      <c r="E56" s="1084"/>
    </row>
    <row r="57" spans="2:5">
      <c r="B57" s="1083"/>
      <c r="C57" s="908"/>
      <c r="D57" s="1085"/>
      <c r="E57" s="1085"/>
    </row>
    <row r="58" spans="2:5">
      <c r="B58" s="1083"/>
      <c r="C58" s="908"/>
      <c r="D58" s="1085"/>
      <c r="E58" s="1085"/>
    </row>
    <row r="59" spans="2:5">
      <c r="B59" s="1083"/>
      <c r="C59" s="908"/>
      <c r="D59" s="1084"/>
      <c r="E59" s="1084"/>
    </row>
    <row r="60" spans="2:5">
      <c r="B60" s="1083"/>
      <c r="C60" s="908"/>
      <c r="D60" s="1084"/>
      <c r="E60" s="1084"/>
    </row>
    <row r="61" spans="2:5">
      <c r="B61" s="1083"/>
      <c r="C61" s="908"/>
      <c r="D61" s="1084"/>
      <c r="E61" s="1084"/>
    </row>
    <row r="62" spans="2:5">
      <c r="B62" s="1083"/>
      <c r="C62" s="908"/>
      <c r="D62" s="1084"/>
      <c r="E62" s="1084"/>
    </row>
    <row r="63" spans="2:5">
      <c r="B63" s="1083"/>
      <c r="C63" s="908"/>
      <c r="D63" s="1084"/>
      <c r="E63" s="1084"/>
    </row>
    <row r="64" spans="2:5">
      <c r="B64" s="1083"/>
      <c r="C64" s="908"/>
      <c r="D64" s="1084"/>
      <c r="E64" s="1084"/>
    </row>
    <row r="65" spans="2:5">
      <c r="B65" s="1083"/>
      <c r="C65" s="908"/>
      <c r="D65" s="1084"/>
      <c r="E65" s="1084"/>
    </row>
    <row r="66" spans="2:5">
      <c r="B66" s="1083"/>
      <c r="C66" s="908"/>
      <c r="D66" s="1084"/>
      <c r="E66" s="1084"/>
    </row>
    <row r="67" spans="2:5">
      <c r="B67" s="1083"/>
      <c r="C67" s="908"/>
      <c r="D67" s="1084"/>
      <c r="E67" s="1084"/>
    </row>
    <row r="68" spans="2:5">
      <c r="B68" s="1083"/>
      <c r="C68" s="908"/>
      <c r="D68" s="1084"/>
      <c r="E68" s="1084"/>
    </row>
    <row r="69" spans="2:5">
      <c r="B69" s="1083"/>
      <c r="C69" s="908"/>
      <c r="D69" s="1084"/>
      <c r="E69" s="1084"/>
    </row>
    <row r="70" spans="2:5">
      <c r="B70" s="1083"/>
      <c r="C70" s="908"/>
      <c r="D70" s="1084"/>
      <c r="E70" s="1084"/>
    </row>
    <row r="71" spans="2:5">
      <c r="B71" s="1083"/>
      <c r="C71" s="908"/>
      <c r="D71" s="1084"/>
      <c r="E71" s="1084"/>
    </row>
    <row r="72" spans="2:5">
      <c r="B72" s="1083"/>
      <c r="C72" s="908"/>
      <c r="D72" s="1084"/>
      <c r="E72" s="1084"/>
    </row>
    <row r="73" spans="2:5">
      <c r="B73" s="1083"/>
      <c r="C73" s="908"/>
      <c r="D73" s="908"/>
      <c r="E73" s="908"/>
    </row>
    <row r="74" spans="2:5" ht="16.5">
      <c r="B74" s="1082"/>
      <c r="C74" s="908"/>
      <c r="D74" s="1084"/>
      <c r="E74" s="1084"/>
    </row>
    <row r="75" spans="2:5">
      <c r="B75" s="1083"/>
      <c r="C75" s="908"/>
      <c r="D75" s="1084"/>
      <c r="E75" s="1084"/>
    </row>
    <row r="76" spans="2:5">
      <c r="B76" s="1083"/>
      <c r="C76" s="908"/>
      <c r="D76" s="1084"/>
      <c r="E76" s="1084"/>
    </row>
    <row r="77" spans="2:5">
      <c r="B77" s="1083"/>
      <c r="C77" s="908"/>
      <c r="D77" s="1084"/>
      <c r="E77" s="1084"/>
    </row>
    <row r="78" spans="2:5">
      <c r="B78" s="1083"/>
      <c r="C78" s="908"/>
      <c r="D78" s="1084"/>
      <c r="E78" s="1084"/>
    </row>
    <row r="79" spans="2:5">
      <c r="B79" s="1083"/>
      <c r="C79" s="908"/>
      <c r="D79" s="1084"/>
      <c r="E79" s="1084"/>
    </row>
    <row r="80" spans="2:5">
      <c r="B80" s="1083"/>
      <c r="C80" s="908"/>
      <c r="D80" s="1084"/>
      <c r="E80" s="1084"/>
    </row>
    <row r="81" spans="2:5">
      <c r="B81" s="1083"/>
      <c r="C81" s="908"/>
      <c r="D81" s="1084"/>
      <c r="E81" s="1084"/>
    </row>
    <row r="82" spans="2:5">
      <c r="B82" s="1086"/>
      <c r="C82" s="908"/>
      <c r="D82" s="1084"/>
      <c r="E82" s="1084"/>
    </row>
    <row r="83" spans="2:5">
      <c r="B83" s="1087"/>
      <c r="C83" s="908"/>
      <c r="D83" s="908"/>
      <c r="E83" s="908"/>
    </row>
    <row r="84" spans="2:5" ht="16.5">
      <c r="B84" s="1082"/>
      <c r="C84" s="908"/>
      <c r="D84" s="1084"/>
      <c r="E84" s="1084"/>
    </row>
    <row r="85" spans="2:5">
      <c r="B85" s="1083"/>
      <c r="C85" s="908"/>
      <c r="D85" s="1084"/>
      <c r="E85" s="1084"/>
    </row>
    <row r="86" spans="2:5">
      <c r="B86" s="1083"/>
      <c r="C86" s="908"/>
      <c r="D86" s="1084"/>
      <c r="E86" s="1084"/>
    </row>
    <row r="87" spans="2:5">
      <c r="B87" s="1083"/>
      <c r="C87" s="908"/>
      <c r="D87" s="1084"/>
      <c r="E87" s="1084"/>
    </row>
    <row r="88" spans="2:5">
      <c r="B88" s="1083"/>
      <c r="C88" s="908"/>
      <c r="D88" s="1084"/>
      <c r="E88" s="1084"/>
    </row>
    <row r="89" spans="2:5">
      <c r="B89" s="1083"/>
      <c r="C89" s="908"/>
      <c r="D89" s="1084"/>
      <c r="E89" s="1084"/>
    </row>
    <row r="90" spans="2:5">
      <c r="B90" s="1083"/>
      <c r="C90" s="908"/>
      <c r="D90" s="1084"/>
      <c r="E90" s="1084"/>
    </row>
    <row r="91" spans="2:5">
      <c r="B91" s="1083"/>
      <c r="C91" s="908"/>
      <c r="D91" s="1084"/>
      <c r="E91" s="1084"/>
    </row>
    <row r="92" spans="2:5">
      <c r="B92" s="1083"/>
      <c r="C92" s="908"/>
      <c r="D92" s="1084"/>
      <c r="E92" s="1084"/>
    </row>
    <row r="93" spans="2:5">
      <c r="B93" s="1083"/>
      <c r="C93" s="908"/>
      <c r="D93" s="1084"/>
      <c r="E93" s="1084"/>
    </row>
    <row r="94" spans="2:5">
      <c r="B94" s="1083"/>
      <c r="C94" s="908"/>
      <c r="D94" s="1084"/>
      <c r="E94" s="1084"/>
    </row>
    <row r="95" spans="2:5">
      <c r="B95" s="1083"/>
      <c r="C95" s="908"/>
      <c r="D95" s="1084"/>
      <c r="E95" s="1084"/>
    </row>
    <row r="96" spans="2:5">
      <c r="B96" s="1086"/>
      <c r="C96" s="908"/>
      <c r="D96" s="908"/>
      <c r="E96" s="908"/>
    </row>
    <row r="97" spans="2:5">
      <c r="B97" s="1083"/>
      <c r="C97" s="908"/>
      <c r="D97" s="1084"/>
      <c r="E97" s="1084"/>
    </row>
    <row r="98" spans="2:5">
      <c r="B98" s="1083"/>
      <c r="C98" s="908"/>
      <c r="D98" s="1084"/>
      <c r="E98" s="1084"/>
    </row>
    <row r="99" spans="2:5" ht="16.5">
      <c r="B99" s="1082"/>
      <c r="C99" s="908"/>
      <c r="D99" s="1084"/>
      <c r="E99" s="1084"/>
    </row>
    <row r="100" spans="2:5" ht="16.5">
      <c r="B100" s="1082"/>
      <c r="C100" s="908"/>
      <c r="D100" s="1084"/>
      <c r="E100" s="1084"/>
    </row>
    <row r="101" spans="2:5">
      <c r="B101" s="1083"/>
      <c r="C101" s="908"/>
      <c r="D101" s="1084"/>
      <c r="E101" s="1084"/>
    </row>
    <row r="102" spans="2:5">
      <c r="B102" s="1083"/>
      <c r="C102" s="908"/>
      <c r="D102" s="1084"/>
      <c r="E102" s="1084"/>
    </row>
    <row r="103" spans="2:5">
      <c r="B103" s="1083"/>
      <c r="C103" s="908"/>
      <c r="D103" s="1084"/>
      <c r="E103" s="1084"/>
    </row>
    <row r="104" spans="2:5">
      <c r="B104" s="1083"/>
      <c r="C104" s="908"/>
      <c r="D104" s="1084"/>
      <c r="E104" s="1084"/>
    </row>
    <row r="105" spans="2:5">
      <c r="B105" s="1083"/>
      <c r="C105" s="908"/>
      <c r="D105" s="1084"/>
      <c r="E105" s="1084"/>
    </row>
    <row r="106" spans="2:5">
      <c r="B106" s="1083"/>
      <c r="C106" s="908"/>
      <c r="D106" s="1084"/>
      <c r="E106" s="1084"/>
    </row>
    <row r="107" spans="2:5">
      <c r="B107" s="1083"/>
      <c r="C107" s="908"/>
      <c r="D107" s="1084"/>
      <c r="E107" s="1084"/>
    </row>
    <row r="108" spans="2:5">
      <c r="B108" s="1083"/>
      <c r="C108" s="908"/>
      <c r="D108" s="1084"/>
      <c r="E108" s="1084"/>
    </row>
    <row r="109" spans="2:5">
      <c r="B109" s="1083"/>
      <c r="C109" s="908"/>
      <c r="D109" s="1084"/>
      <c r="E109" s="1084"/>
    </row>
    <row r="110" spans="2:5">
      <c r="B110" s="1083"/>
      <c r="C110" s="908"/>
      <c r="D110" s="1084"/>
      <c r="E110" s="1084"/>
    </row>
    <row r="111" spans="2:5">
      <c r="B111" s="1083"/>
      <c r="C111" s="908"/>
      <c r="D111" s="1084"/>
      <c r="E111" s="1084"/>
    </row>
    <row r="112" spans="2:5">
      <c r="B112" s="1083"/>
      <c r="C112" s="908"/>
      <c r="D112" s="1084"/>
      <c r="E112" s="1084"/>
    </row>
    <row r="113" spans="2:5">
      <c r="B113" s="1083"/>
      <c r="C113" s="908"/>
      <c r="D113" s="1084"/>
      <c r="E113" s="1084"/>
    </row>
    <row r="114" spans="2:5">
      <c r="B114" s="1083"/>
      <c r="C114" s="908"/>
      <c r="D114" s="1084"/>
      <c r="E114" s="1084"/>
    </row>
    <row r="115" spans="2:5">
      <c r="B115" s="1083"/>
      <c r="C115" s="908"/>
      <c r="D115" s="1084"/>
      <c r="E115" s="1084"/>
    </row>
    <row r="116" spans="2:5">
      <c r="B116" s="1083"/>
      <c r="C116" s="908"/>
      <c r="D116" s="1084"/>
      <c r="E116" s="1084"/>
    </row>
    <row r="117" spans="2:5">
      <c r="B117" s="1083"/>
      <c r="C117" s="908"/>
      <c r="D117" s="1084"/>
      <c r="E117" s="1084"/>
    </row>
    <row r="118" spans="2:5">
      <c r="B118" s="1083"/>
      <c r="C118" s="908"/>
      <c r="D118" s="1084"/>
      <c r="E118" s="1084"/>
    </row>
    <row r="119" spans="2:5">
      <c r="B119" s="1083"/>
      <c r="C119" s="908"/>
      <c r="D119" s="1084"/>
      <c r="E119" s="1084"/>
    </row>
    <row r="120" spans="2:5">
      <c r="B120" s="1083"/>
      <c r="C120" s="908"/>
      <c r="D120" s="908"/>
      <c r="E120" s="908"/>
    </row>
    <row r="121" spans="2:5">
      <c r="B121" s="1083"/>
      <c r="C121" s="908"/>
      <c r="D121" s="908"/>
      <c r="E121" s="908"/>
    </row>
    <row r="122" spans="2:5" ht="16.5">
      <c r="B122" s="1082"/>
      <c r="C122" s="908"/>
      <c r="D122" s="1084"/>
      <c r="E122" s="1084"/>
    </row>
    <row r="123" spans="2:5" ht="16.5">
      <c r="B123" s="1082"/>
      <c r="C123" s="908"/>
      <c r="D123" s="1084"/>
      <c r="E123" s="1084"/>
    </row>
    <row r="124" spans="2:5" ht="16.5">
      <c r="B124" s="1082"/>
      <c r="C124" s="908"/>
      <c r="D124" s="1084"/>
      <c r="E124" s="1084"/>
    </row>
    <row r="125" spans="2:5">
      <c r="B125" s="1083"/>
      <c r="C125" s="908"/>
      <c r="D125" s="1084"/>
      <c r="E125" s="1084"/>
    </row>
    <row r="126" spans="2:5">
      <c r="B126" s="1083"/>
      <c r="C126" s="908"/>
      <c r="D126" s="1084"/>
      <c r="E126" s="1084"/>
    </row>
    <row r="127" spans="2:5">
      <c r="B127" s="1083"/>
      <c r="C127" s="908"/>
      <c r="D127" s="1084"/>
      <c r="E127" s="1084"/>
    </row>
    <row r="128" spans="2:5">
      <c r="B128" s="1083"/>
      <c r="C128" s="908"/>
      <c r="D128" s="1084"/>
      <c r="E128" s="1084"/>
    </row>
    <row r="129" spans="2:5">
      <c r="B129" s="1083"/>
      <c r="C129" s="908"/>
      <c r="D129" s="1084"/>
      <c r="E129" s="1084"/>
    </row>
    <row r="130" spans="2:5">
      <c r="B130" s="1083"/>
      <c r="C130" s="908"/>
      <c r="D130" s="1084"/>
      <c r="E130" s="1084"/>
    </row>
    <row r="131" spans="2:5">
      <c r="B131" s="1083"/>
      <c r="C131" s="908"/>
      <c r="D131" s="1084"/>
      <c r="E131" s="1084"/>
    </row>
    <row r="132" spans="2:5">
      <c r="B132" s="1083"/>
      <c r="C132" s="908"/>
      <c r="D132" s="1084"/>
      <c r="E132" s="1084"/>
    </row>
    <row r="133" spans="2:5">
      <c r="B133" s="1083"/>
      <c r="C133" s="908"/>
      <c r="D133" s="1084"/>
      <c r="E133" s="1084"/>
    </row>
    <row r="134" spans="2:5">
      <c r="B134" s="1083"/>
      <c r="C134" s="908"/>
      <c r="D134" s="1084"/>
      <c r="E134" s="1084"/>
    </row>
    <row r="135" spans="2:5">
      <c r="B135" s="1083"/>
      <c r="C135" s="908"/>
      <c r="D135" s="1084"/>
      <c r="E135" s="1084"/>
    </row>
    <row r="136" spans="2:5">
      <c r="B136" s="1083"/>
      <c r="C136" s="908"/>
      <c r="D136" s="1084"/>
      <c r="E136" s="1084"/>
    </row>
    <row r="137" spans="2:5">
      <c r="B137" s="1083"/>
      <c r="C137" s="908"/>
      <c r="D137" s="1084"/>
      <c r="E137" s="1084"/>
    </row>
    <row r="138" spans="2:5">
      <c r="B138" s="1083"/>
      <c r="C138" s="908"/>
      <c r="D138" s="1084"/>
      <c r="E138" s="1084"/>
    </row>
    <row r="139" spans="2:5">
      <c r="B139" s="1083"/>
      <c r="C139" s="908"/>
      <c r="D139" s="1084"/>
      <c r="E139" s="1084"/>
    </row>
    <row r="140" spans="2:5">
      <c r="B140" s="1083"/>
      <c r="C140" s="908"/>
      <c r="D140" s="1084"/>
      <c r="E140" s="1084"/>
    </row>
    <row r="141" spans="2:5">
      <c r="B141" s="1083"/>
      <c r="C141" s="908"/>
      <c r="D141" s="1084"/>
      <c r="E141" s="1084"/>
    </row>
    <row r="142" spans="2:5">
      <c r="B142" s="1083"/>
      <c r="C142" s="908"/>
      <c r="D142" s="1084"/>
      <c r="E142" s="1084"/>
    </row>
    <row r="143" spans="2:5">
      <c r="B143" s="1083"/>
      <c r="C143" s="908"/>
      <c r="D143" s="1084"/>
      <c r="E143" s="1084"/>
    </row>
    <row r="144" spans="2:5">
      <c r="B144" s="1083"/>
      <c r="C144" s="908"/>
      <c r="D144" s="908"/>
      <c r="E144" s="908"/>
    </row>
    <row r="145" spans="2:5">
      <c r="B145" s="1083"/>
      <c r="C145" s="908"/>
      <c r="D145" s="908"/>
      <c r="E145" s="908"/>
    </row>
    <row r="146" spans="2:5">
      <c r="B146" s="1083"/>
      <c r="C146" s="908"/>
      <c r="D146" s="1084"/>
      <c r="E146" s="1084"/>
    </row>
    <row r="147" spans="2:5" ht="16.5">
      <c r="B147" s="1082"/>
      <c r="C147" s="908"/>
      <c r="D147" s="1084"/>
      <c r="E147" s="1084"/>
    </row>
    <row r="148" spans="2:5" ht="16.5">
      <c r="B148" s="1082"/>
      <c r="C148" s="908"/>
      <c r="D148" s="1084"/>
      <c r="E148" s="1084"/>
    </row>
    <row r="149" spans="2:5">
      <c r="B149" s="1083"/>
      <c r="C149" s="908"/>
      <c r="D149" s="1084"/>
      <c r="E149" s="1084"/>
    </row>
    <row r="150" spans="2:5">
      <c r="B150" s="1083"/>
      <c r="C150" s="908"/>
      <c r="D150" s="1084"/>
      <c r="E150" s="1084"/>
    </row>
    <row r="151" spans="2:5">
      <c r="B151" s="1083"/>
      <c r="C151" s="908"/>
      <c r="D151" s="1084"/>
      <c r="E151" s="1084"/>
    </row>
    <row r="152" spans="2:5">
      <c r="B152" s="1083"/>
      <c r="C152" s="908"/>
      <c r="D152" s="1084"/>
      <c r="E152" s="1084"/>
    </row>
    <row r="153" spans="2:5">
      <c r="B153" s="1083"/>
      <c r="C153" s="908"/>
      <c r="D153" s="1084"/>
      <c r="E153" s="1084"/>
    </row>
    <row r="154" spans="2:5" ht="16.5">
      <c r="B154" s="1088"/>
      <c r="C154" s="908"/>
      <c r="D154" s="1084"/>
      <c r="E154" s="1084"/>
    </row>
    <row r="155" spans="2:5">
      <c r="B155" s="1083"/>
      <c r="C155" s="908"/>
      <c r="D155" s="908"/>
      <c r="E155" s="908"/>
    </row>
    <row r="156" spans="2:5" ht="16.5">
      <c r="B156" s="1083"/>
      <c r="C156" s="908"/>
      <c r="D156" s="1060"/>
      <c r="E156" s="1060"/>
    </row>
    <row r="157" spans="2:5" ht="16.5">
      <c r="B157" s="1082"/>
      <c r="C157" s="908"/>
      <c r="D157" s="1060"/>
      <c r="E157" s="1060"/>
    </row>
    <row r="158" spans="2:5" ht="16.5">
      <c r="B158" s="1082"/>
      <c r="C158" s="908"/>
      <c r="D158" s="1060"/>
      <c r="E158" s="1060"/>
    </row>
    <row r="159" spans="2:5">
      <c r="B159" s="1083"/>
      <c r="C159" s="908"/>
      <c r="D159" s="1084"/>
      <c r="E159" s="1084"/>
    </row>
    <row r="160" spans="2:5">
      <c r="B160" s="1083"/>
      <c r="C160" s="908"/>
      <c r="D160" s="1084"/>
      <c r="E160" s="1084"/>
    </row>
    <row r="161" spans="2:5">
      <c r="B161" s="1083"/>
      <c r="C161" s="908"/>
      <c r="D161" s="1084"/>
      <c r="E161" s="1084"/>
    </row>
    <row r="162" spans="2:5" ht="16.5">
      <c r="B162" s="1083"/>
      <c r="C162" s="908"/>
      <c r="D162" s="1060"/>
      <c r="E162" s="1060"/>
    </row>
    <row r="163" spans="2:5">
      <c r="B163" s="1083"/>
      <c r="C163" s="908"/>
      <c r="D163" s="1084"/>
      <c r="E163" s="1084"/>
    </row>
    <row r="164" spans="2:5">
      <c r="B164" s="1083"/>
      <c r="C164" s="908"/>
      <c r="D164" s="1084"/>
      <c r="E164" s="1084"/>
    </row>
    <row r="165" spans="2:5">
      <c r="B165" s="1083"/>
      <c r="C165" s="908"/>
      <c r="D165" s="1084"/>
      <c r="E165" s="1084"/>
    </row>
    <row r="166" spans="2:5">
      <c r="B166" s="1083"/>
      <c r="C166" s="908"/>
      <c r="D166" s="1084"/>
      <c r="E166" s="1084"/>
    </row>
    <row r="167" spans="2:5">
      <c r="B167" s="1083"/>
      <c r="C167" s="908"/>
      <c r="D167" s="1084"/>
      <c r="E167" s="1084"/>
    </row>
    <row r="168" spans="2:5">
      <c r="B168" s="1083"/>
      <c r="C168" s="908"/>
      <c r="D168" s="1084"/>
      <c r="E168" s="1084"/>
    </row>
    <row r="169" spans="2:5">
      <c r="B169" s="1083"/>
      <c r="C169" s="908"/>
      <c r="D169" s="1084"/>
      <c r="E169" s="1084"/>
    </row>
    <row r="170" spans="2:5">
      <c r="B170" s="1083"/>
      <c r="C170" s="908"/>
      <c r="D170" s="1084"/>
      <c r="E170" s="1084"/>
    </row>
    <row r="171" spans="2:5">
      <c r="B171" s="1083"/>
      <c r="C171" s="908"/>
      <c r="D171" s="1084"/>
      <c r="E171" s="1084"/>
    </row>
    <row r="172" spans="2:5">
      <c r="B172" s="1012"/>
      <c r="C172" s="908"/>
      <c r="D172" s="888"/>
      <c r="E172" s="888"/>
    </row>
    <row r="173" spans="2:5">
      <c r="B173" s="1083"/>
      <c r="C173" s="908"/>
      <c r="D173" s="908"/>
      <c r="E173" s="908"/>
    </row>
    <row r="174" spans="2:5">
      <c r="B174" s="1083"/>
      <c r="C174" s="908"/>
      <c r="D174" s="1084"/>
      <c r="E174" s="1084"/>
    </row>
    <row r="175" spans="2:5">
      <c r="B175" s="1083"/>
      <c r="C175" s="908"/>
      <c r="D175" s="1084"/>
      <c r="E175" s="1084"/>
    </row>
    <row r="176" spans="2:5">
      <c r="B176" s="1083"/>
      <c r="C176" s="908"/>
      <c r="D176" s="908"/>
      <c r="E176" s="908"/>
    </row>
    <row r="177" spans="2:5" ht="16.5">
      <c r="B177" s="1082"/>
      <c r="C177" s="908"/>
      <c r="D177" s="1084"/>
      <c r="E177" s="1084"/>
    </row>
    <row r="178" spans="2:5" ht="16.5">
      <c r="B178" s="1082"/>
      <c r="C178" s="908"/>
      <c r="D178" s="1084"/>
      <c r="E178" s="1084"/>
    </row>
    <row r="179" spans="2:5">
      <c r="B179" s="1083"/>
      <c r="C179" s="908"/>
      <c r="D179" s="1084"/>
      <c r="E179" s="1084"/>
    </row>
    <row r="180" spans="2:5">
      <c r="B180" s="1083"/>
      <c r="C180" s="908"/>
      <c r="D180" s="1084"/>
      <c r="E180" s="1084"/>
    </row>
    <row r="181" spans="2:5">
      <c r="B181" s="1083"/>
      <c r="C181" s="908"/>
      <c r="D181" s="908"/>
      <c r="E181" s="908"/>
    </row>
    <row r="182" spans="2:5">
      <c r="B182" s="1083"/>
      <c r="C182" s="908"/>
      <c r="D182" s="1084"/>
      <c r="E182" s="1084"/>
    </row>
    <row r="183" spans="2:5">
      <c r="B183" s="1083"/>
      <c r="C183" s="908"/>
      <c r="D183" s="1084"/>
      <c r="E183" s="1084"/>
    </row>
    <row r="184" spans="2:5">
      <c r="B184" s="1083"/>
      <c r="C184" s="908"/>
      <c r="D184" s="1084"/>
      <c r="E184" s="1084"/>
    </row>
    <row r="185" spans="2:5">
      <c r="B185" s="1083"/>
      <c r="C185" s="908"/>
      <c r="D185" s="1084"/>
      <c r="E185" s="1084"/>
    </row>
    <row r="186" spans="2:5">
      <c r="B186" s="1083"/>
      <c r="C186" s="908"/>
      <c r="D186" s="1084"/>
      <c r="E186" s="1084"/>
    </row>
    <row r="187" spans="2:5">
      <c r="B187" s="1083"/>
      <c r="C187" s="908"/>
      <c r="D187" s="1084"/>
      <c r="E187" s="1084"/>
    </row>
    <row r="188" spans="2:5">
      <c r="B188" s="1083"/>
      <c r="C188" s="908"/>
      <c r="D188" s="1084"/>
      <c r="E188" s="1084"/>
    </row>
    <row r="189" spans="2:5">
      <c r="B189" s="1083"/>
      <c r="C189" s="908"/>
      <c r="D189" s="1084"/>
      <c r="E189" s="1084"/>
    </row>
    <row r="190" spans="2:5">
      <c r="B190" s="1083"/>
      <c r="C190" s="908"/>
      <c r="D190" s="1084"/>
      <c r="E190" s="1084"/>
    </row>
    <row r="191" spans="2:5">
      <c r="B191" s="1083"/>
      <c r="C191" s="1084"/>
      <c r="D191" s="1084"/>
      <c r="E191" s="1084"/>
    </row>
    <row r="192" spans="2:5">
      <c r="B192" s="1083"/>
      <c r="C192" s="1084"/>
      <c r="D192" s="1084"/>
      <c r="E192" s="1084"/>
    </row>
    <row r="193" spans="2:5">
      <c r="B193" s="1083"/>
      <c r="C193" s="908"/>
      <c r="D193" s="1084"/>
      <c r="E193" s="1084"/>
    </row>
    <row r="194" spans="2:5" ht="16.5">
      <c r="B194" s="1082"/>
      <c r="C194" s="908"/>
      <c r="D194" s="1060"/>
      <c r="E194" s="1060"/>
    </row>
    <row r="195" spans="2:5" ht="16.5">
      <c r="B195" s="1082"/>
      <c r="C195" s="908"/>
      <c r="D195" s="1060"/>
      <c r="E195" s="1060"/>
    </row>
    <row r="196" spans="2:5">
      <c r="B196" s="1083"/>
      <c r="C196" s="908"/>
      <c r="D196" s="1084"/>
      <c r="E196" s="1084"/>
    </row>
    <row r="197" spans="2:5" ht="16.5">
      <c r="B197" s="1083"/>
      <c r="C197" s="908"/>
      <c r="D197" s="1060"/>
      <c r="E197" s="1060"/>
    </row>
    <row r="198" spans="2:5">
      <c r="B198" s="1083"/>
      <c r="C198" s="908"/>
      <c r="D198" s="1084"/>
      <c r="E198" s="1084"/>
    </row>
    <row r="199" spans="2:5">
      <c r="B199" s="1083"/>
      <c r="C199" s="908"/>
      <c r="D199" s="1084"/>
      <c r="E199" s="1084"/>
    </row>
    <row r="200" spans="2:5">
      <c r="B200" s="1083"/>
      <c r="C200" s="908"/>
      <c r="D200" s="1084"/>
      <c r="E200" s="1084"/>
    </row>
    <row r="201" spans="2:5">
      <c r="B201" s="1083"/>
      <c r="C201" s="908"/>
      <c r="D201" s="1084"/>
      <c r="E201" s="1084"/>
    </row>
    <row r="202" spans="2:5">
      <c r="B202" s="1083"/>
      <c r="C202" s="908"/>
      <c r="D202" s="1084"/>
      <c r="E202" s="1084"/>
    </row>
    <row r="203" spans="2:5">
      <c r="B203" s="1083"/>
      <c r="C203" s="908"/>
      <c r="D203" s="1084"/>
      <c r="E203" s="1084"/>
    </row>
    <row r="204" spans="2:5">
      <c r="B204" s="535"/>
      <c r="C204" s="908"/>
      <c r="D204" s="1084"/>
      <c r="E204" s="1084"/>
    </row>
    <row r="205" spans="2:5">
      <c r="B205" s="535"/>
      <c r="C205" s="908"/>
      <c r="D205" s="908"/>
      <c r="E205" s="908"/>
    </row>
    <row r="206" spans="2:5">
      <c r="B206" s="535"/>
      <c r="C206" s="535"/>
      <c r="D206" s="535"/>
      <c r="E206" s="535"/>
    </row>
    <row r="207" spans="2:5" ht="16.5">
      <c r="B207" s="1025"/>
      <c r="C207" s="535"/>
      <c r="D207" s="535"/>
      <c r="E207" s="535"/>
    </row>
    <row r="208" spans="2:5" ht="16.5">
      <c r="B208" s="1025"/>
      <c r="C208" s="535"/>
      <c r="D208" s="535"/>
      <c r="E208" s="535"/>
    </row>
    <row r="209" spans="2:5">
      <c r="B209" s="535"/>
      <c r="C209" s="1089"/>
      <c r="D209" s="535"/>
      <c r="E209" s="535"/>
    </row>
    <row r="210" spans="2:5">
      <c r="B210" s="535"/>
      <c r="C210" s="1089"/>
      <c r="D210" s="535"/>
      <c r="E210" s="535"/>
    </row>
    <row r="211" spans="2:5">
      <c r="B211" s="535"/>
      <c r="C211" s="1089"/>
      <c r="D211" s="535"/>
      <c r="E211" s="535"/>
    </row>
    <row r="212" spans="2:5">
      <c r="B212" s="535"/>
      <c r="C212" s="1089"/>
      <c r="D212" s="535"/>
      <c r="E212" s="535"/>
    </row>
    <row r="213" spans="2:5">
      <c r="B213" s="535"/>
      <c r="C213" s="1090"/>
      <c r="D213" s="535"/>
      <c r="E213" s="535"/>
    </row>
    <row r="214" spans="2:5">
      <c r="B214" s="535"/>
      <c r="C214" s="535"/>
      <c r="D214" s="535"/>
      <c r="E214" s="535"/>
    </row>
    <row r="215" spans="2:5" ht="16.5">
      <c r="B215" s="1025"/>
      <c r="C215" s="535"/>
      <c r="D215" s="535"/>
      <c r="E215" s="535"/>
    </row>
    <row r="216" spans="2:5">
      <c r="B216" s="1083"/>
      <c r="C216" s="1091"/>
      <c r="D216" s="535"/>
      <c r="E216" s="535"/>
    </row>
    <row r="217" spans="2:5">
      <c r="B217" s="1083"/>
      <c r="C217" s="1091"/>
      <c r="D217" s="535"/>
      <c r="E217" s="535"/>
    </row>
    <row r="218" spans="2:5">
      <c r="B218" s="1083"/>
      <c r="C218" s="1091"/>
      <c r="D218" s="535"/>
      <c r="E218" s="535"/>
    </row>
    <row r="219" spans="2:5">
      <c r="B219" s="535"/>
      <c r="C219" s="1092"/>
      <c r="D219" s="535"/>
      <c r="E219" s="535"/>
    </row>
    <row r="220" spans="2:5">
      <c r="B220" s="535"/>
      <c r="C220" s="535"/>
      <c r="D220" s="535"/>
      <c r="E220" s="535"/>
    </row>
    <row r="221" spans="2:5" ht="16.5">
      <c r="B221" s="1082"/>
      <c r="C221" s="535"/>
      <c r="D221" s="535"/>
      <c r="E221" s="535"/>
    </row>
    <row r="222" spans="2:5">
      <c r="B222" s="1083"/>
      <c r="C222" s="1093"/>
      <c r="D222" s="535"/>
      <c r="E222" s="535"/>
    </row>
    <row r="223" spans="2:5">
      <c r="B223" s="1083"/>
      <c r="C223" s="1093"/>
      <c r="D223" s="535"/>
      <c r="E223" s="535"/>
    </row>
    <row r="224" spans="2:5">
      <c r="B224" s="1083"/>
      <c r="C224" s="1093"/>
      <c r="D224" s="535"/>
      <c r="E224" s="535"/>
    </row>
    <row r="225" spans="2:5">
      <c r="B225" s="535"/>
      <c r="C225" s="1092"/>
      <c r="D225" s="535"/>
      <c r="E225" s="535"/>
    </row>
    <row r="226" spans="2:5">
      <c r="B226" s="535"/>
      <c r="C226" s="535"/>
      <c r="D226" s="535"/>
      <c r="E226" s="535"/>
    </row>
    <row r="227" spans="2:5" ht="16.5">
      <c r="B227" s="1082"/>
      <c r="C227" s="535"/>
      <c r="D227" s="535"/>
      <c r="E227" s="535"/>
    </row>
    <row r="228" spans="2:5">
      <c r="B228" s="1083"/>
      <c r="C228" s="1090"/>
      <c r="D228" s="535"/>
      <c r="E228" s="535"/>
    </row>
    <row r="229" spans="2:5">
      <c r="B229" s="1083"/>
      <c r="C229" s="1090"/>
      <c r="D229" s="535"/>
      <c r="E229" s="535"/>
    </row>
    <row r="230" spans="2:5">
      <c r="B230" s="1083"/>
      <c r="C230" s="1090"/>
      <c r="D230" s="535"/>
      <c r="E230" s="535"/>
    </row>
    <row r="231" spans="2:5">
      <c r="B231" s="535"/>
      <c r="C231" s="1092"/>
      <c r="D231" s="1089"/>
      <c r="E231" s="1089"/>
    </row>
    <row r="232" spans="2:5">
      <c r="B232" s="535"/>
      <c r="C232" s="1092"/>
      <c r="D232" s="1089"/>
      <c r="E232" s="1089"/>
    </row>
    <row r="233" spans="2:5" ht="16.5">
      <c r="B233" s="1082"/>
      <c r="C233" s="1092"/>
      <c r="D233" s="1089"/>
      <c r="E233" s="1089"/>
    </row>
    <row r="234" spans="2:5">
      <c r="B234" s="535"/>
      <c r="C234" s="1090"/>
      <c r="D234" s="1089"/>
      <c r="E234" s="1089"/>
    </row>
    <row r="235" spans="2:5">
      <c r="B235" s="1083"/>
      <c r="C235" s="1090"/>
      <c r="D235" s="1089"/>
      <c r="E235" s="1089"/>
    </row>
    <row r="236" spans="2:5">
      <c r="B236" s="535"/>
      <c r="C236" s="1090"/>
      <c r="D236" s="535"/>
      <c r="E236" s="535"/>
    </row>
    <row r="237" spans="2:5" ht="16.5">
      <c r="B237" s="1025"/>
      <c r="C237" s="1090"/>
      <c r="D237" s="535"/>
      <c r="E237" s="535"/>
    </row>
    <row r="238" spans="2:5">
      <c r="B238" s="535"/>
      <c r="C238" s="1090"/>
      <c r="D238" s="535"/>
      <c r="E238" s="535"/>
    </row>
    <row r="239" spans="2:5">
      <c r="B239" s="535"/>
      <c r="C239" s="1090"/>
      <c r="D239" s="535"/>
      <c r="E239" s="535"/>
    </row>
    <row r="240" spans="2:5">
      <c r="B240" s="535"/>
      <c r="C240" s="1090"/>
      <c r="D240" s="1092"/>
      <c r="E240" s="1092"/>
    </row>
    <row r="241" spans="2:5">
      <c r="B241" s="535"/>
      <c r="C241" s="1090"/>
      <c r="D241" s="535"/>
      <c r="E241" s="535"/>
    </row>
    <row r="242" spans="2:5" ht="16.5">
      <c r="B242" s="1082"/>
      <c r="C242" s="535"/>
      <c r="D242" s="535"/>
      <c r="E242" s="535"/>
    </row>
    <row r="243" spans="2:5">
      <c r="B243" s="535"/>
      <c r="C243" s="1090"/>
      <c r="D243" s="535"/>
      <c r="E243" s="535"/>
    </row>
    <row r="244" spans="2:5">
      <c r="B244" s="535"/>
      <c r="C244" s="535"/>
      <c r="D244" s="535"/>
      <c r="E244" s="535"/>
    </row>
    <row r="245" spans="2:5">
      <c r="B245" s="535"/>
      <c r="C245" s="1090"/>
      <c r="D245" s="535"/>
      <c r="E245" s="535"/>
    </row>
    <row r="246" spans="2:5">
      <c r="B246" s="535"/>
      <c r="C246" s="535"/>
      <c r="D246" s="535"/>
      <c r="E246" s="535"/>
    </row>
    <row r="247" spans="2:5">
      <c r="B247" s="535"/>
      <c r="C247" s="1090"/>
      <c r="D247" s="535"/>
      <c r="E247" s="535"/>
    </row>
    <row r="248" spans="2:5">
      <c r="B248" s="535"/>
      <c r="C248" s="535"/>
      <c r="D248" s="535"/>
      <c r="E248" s="535"/>
    </row>
    <row r="249" spans="2:5">
      <c r="B249" s="535"/>
      <c r="C249" s="1090"/>
      <c r="D249" s="535"/>
      <c r="E249" s="535"/>
    </row>
    <row r="250" spans="2:5">
      <c r="B250" s="535"/>
      <c r="C250" s="535"/>
      <c r="D250" s="535"/>
      <c r="E250" s="535"/>
    </row>
    <row r="251" spans="2:5">
      <c r="B251" s="535"/>
      <c r="C251" s="1090"/>
      <c r="D251" s="535"/>
      <c r="E251" s="535"/>
    </row>
    <row r="252" spans="2:5">
      <c r="B252" s="535"/>
      <c r="C252" s="535"/>
      <c r="D252" s="535"/>
      <c r="E252" s="535"/>
    </row>
    <row r="253" spans="2:5">
      <c r="B253" s="1083"/>
      <c r="C253" s="1090"/>
      <c r="D253" s="535"/>
      <c r="E253" s="535"/>
    </row>
    <row r="254" spans="2:5">
      <c r="B254" s="1083"/>
      <c r="C254" s="1090"/>
      <c r="D254" s="535"/>
      <c r="E254" s="535"/>
    </row>
    <row r="255" spans="2:5">
      <c r="B255" s="1083"/>
      <c r="C255" s="1090"/>
      <c r="D255" s="535"/>
      <c r="E255" s="535"/>
    </row>
    <row r="256" spans="2:5">
      <c r="B256" s="1083"/>
      <c r="C256" s="1090"/>
      <c r="D256" s="535"/>
      <c r="E256" s="535"/>
    </row>
    <row r="257" spans="2:5" ht="16.5">
      <c r="B257" s="535"/>
      <c r="C257" s="1094"/>
      <c r="D257" s="535"/>
      <c r="E257" s="535"/>
    </row>
    <row r="258" spans="2:5">
      <c r="B258" s="535"/>
      <c r="C258" s="535"/>
      <c r="D258" s="535"/>
      <c r="E258" s="535"/>
    </row>
    <row r="259" spans="2:5">
      <c r="B259" s="535"/>
      <c r="C259" s="535"/>
      <c r="D259" s="535"/>
      <c r="E259" s="535"/>
    </row>
    <row r="260" spans="2:5">
      <c r="B260" s="535"/>
      <c r="C260" s="535"/>
      <c r="D260" s="535"/>
      <c r="E260" s="535"/>
    </row>
    <row r="261" spans="2:5">
      <c r="B261" s="535"/>
      <c r="C261" s="535"/>
      <c r="D261" s="535"/>
      <c r="E261" s="535"/>
    </row>
    <row r="262" spans="2:5">
      <c r="B262" s="535"/>
      <c r="C262" s="535"/>
      <c r="D262" s="535"/>
      <c r="E262" s="535"/>
    </row>
    <row r="263" spans="2:5">
      <c r="B263" s="535"/>
      <c r="C263" s="535"/>
      <c r="D263" s="535"/>
      <c r="E263" s="535"/>
    </row>
    <row r="264" spans="2:5">
      <c r="B264" s="535"/>
      <c r="C264" s="535"/>
      <c r="D264" s="535"/>
      <c r="E264" s="535"/>
    </row>
    <row r="265" spans="2:5">
      <c r="B265" s="535"/>
      <c r="C265" s="535"/>
      <c r="D265" s="535"/>
      <c r="E265" s="535"/>
    </row>
    <row r="266" spans="2:5">
      <c r="B266" s="535"/>
      <c r="C266" s="535"/>
      <c r="D266" s="535"/>
      <c r="E266" s="535"/>
    </row>
    <row r="267" spans="2:5">
      <c r="B267" s="535"/>
      <c r="C267" s="535"/>
      <c r="D267" s="535"/>
      <c r="E267" s="535"/>
    </row>
    <row r="268" spans="2:5">
      <c r="B268" s="535"/>
      <c r="C268" s="535"/>
      <c r="D268" s="535"/>
      <c r="E268" s="535"/>
    </row>
    <row r="269" spans="2:5">
      <c r="B269" s="535"/>
      <c r="C269" s="535"/>
      <c r="D269" s="535"/>
      <c r="E269" s="535"/>
    </row>
    <row r="270" spans="2:5">
      <c r="B270" s="535"/>
      <c r="C270" s="535"/>
      <c r="D270" s="535"/>
      <c r="E270" s="535"/>
    </row>
    <row r="271" spans="2:5">
      <c r="B271" s="535"/>
      <c r="C271" s="535"/>
      <c r="D271" s="535"/>
      <c r="E271" s="535"/>
    </row>
    <row r="272" spans="2:5">
      <c r="B272" s="535"/>
      <c r="C272" s="535"/>
      <c r="D272" s="535"/>
      <c r="E272" s="535"/>
    </row>
    <row r="273" spans="2:5">
      <c r="B273" s="535"/>
      <c r="C273" s="535"/>
      <c r="D273" s="535"/>
      <c r="E273" s="535"/>
    </row>
    <row r="274" spans="2:5">
      <c r="B274" s="535"/>
      <c r="C274" s="535"/>
      <c r="D274" s="535"/>
      <c r="E274" s="535"/>
    </row>
    <row r="275" spans="2:5">
      <c r="B275" s="535"/>
      <c r="C275" s="535"/>
      <c r="D275" s="535"/>
      <c r="E275" s="535"/>
    </row>
    <row r="276" spans="2:5">
      <c r="B276" s="535"/>
      <c r="C276" s="535"/>
      <c r="D276" s="535"/>
      <c r="E276" s="535"/>
    </row>
    <row r="277" spans="2:5">
      <c r="B277" s="535"/>
      <c r="C277" s="535"/>
      <c r="D277" s="535"/>
      <c r="E277" s="535"/>
    </row>
    <row r="278" spans="2:5">
      <c r="B278" s="535"/>
      <c r="C278" s="535"/>
      <c r="D278" s="535"/>
      <c r="E278" s="535"/>
    </row>
    <row r="279" spans="2:5">
      <c r="B279" s="535"/>
      <c r="C279" s="535"/>
      <c r="D279" s="535"/>
      <c r="E279" s="535"/>
    </row>
    <row r="280" spans="2:5">
      <c r="B280" s="535"/>
      <c r="C280" s="535"/>
      <c r="D280" s="535"/>
      <c r="E280" s="535"/>
    </row>
    <row r="281" spans="2:5">
      <c r="B281" s="535"/>
      <c r="C281" s="535"/>
      <c r="D281" s="535"/>
      <c r="E281" s="535"/>
    </row>
    <row r="282" spans="2:5">
      <c r="B282" s="535"/>
      <c r="C282" s="535"/>
      <c r="D282" s="535"/>
      <c r="E282" s="535"/>
    </row>
    <row r="283" spans="2:5">
      <c r="B283" s="535"/>
      <c r="C283" s="535"/>
      <c r="D283" s="535"/>
      <c r="E283" s="535"/>
    </row>
    <row r="284" spans="2:5">
      <c r="B284" s="535"/>
      <c r="C284" s="535"/>
      <c r="D284" s="535"/>
      <c r="E284" s="535"/>
    </row>
    <row r="285" spans="2:5">
      <c r="B285" s="535"/>
      <c r="C285" s="535"/>
      <c r="D285" s="535"/>
      <c r="E285" s="535"/>
    </row>
    <row r="286" spans="2:5">
      <c r="B286" s="535"/>
      <c r="C286" s="535"/>
      <c r="D286" s="535"/>
      <c r="E286" s="535"/>
    </row>
    <row r="287" spans="2:5">
      <c r="B287" s="535"/>
      <c r="C287" s="535"/>
      <c r="D287" s="535"/>
      <c r="E287" s="535"/>
    </row>
    <row r="288" spans="2:5">
      <c r="B288" s="535"/>
      <c r="C288" s="535"/>
      <c r="D288" s="535"/>
      <c r="E288" s="535"/>
    </row>
    <row r="289" spans="2:5">
      <c r="B289" s="535"/>
      <c r="C289" s="535"/>
      <c r="D289" s="535"/>
      <c r="E289" s="535"/>
    </row>
  </sheetData>
  <mergeCells count="4">
    <mergeCell ref="B1:D1"/>
    <mergeCell ref="B2:D2"/>
    <mergeCell ref="C6:D6"/>
    <mergeCell ref="B3:D3"/>
  </mergeCells>
  <pageMargins left="0.7" right="0.7" top="0.75" bottom="0.75" header="0.3" footer="0.3"/>
  <pageSetup paperSize="9" scale="83" orientation="portrait" r:id="rId1"/>
</worksheet>
</file>

<file path=xl/worksheets/sheet27.xml><?xml version="1.0" encoding="utf-8"?>
<worksheet xmlns="http://schemas.openxmlformats.org/spreadsheetml/2006/main" xmlns:r="http://schemas.openxmlformats.org/officeDocument/2006/relationships">
  <dimension ref="A1:T474"/>
  <sheetViews>
    <sheetView topLeftCell="A385" workbookViewId="0">
      <selection activeCell="F436" sqref="F436"/>
    </sheetView>
  </sheetViews>
  <sheetFormatPr defaultColWidth="9.140625" defaultRowHeight="15"/>
  <cols>
    <col min="1" max="1" width="3.5703125" style="1277" customWidth="1"/>
    <col min="2" max="2" width="63.140625" style="1277" customWidth="1"/>
    <col min="3" max="4" width="17.7109375" style="1277" hidden="1" customWidth="1"/>
    <col min="5" max="5" width="3" style="1277" customWidth="1"/>
    <col min="6" max="6" width="21.7109375" style="189" customWidth="1"/>
    <col min="7" max="7" width="1.140625" style="1307" customWidth="1"/>
    <col min="8" max="8" width="15.85546875" style="1277" customWidth="1"/>
    <col min="9" max="9" width="2.28515625" style="1277" customWidth="1"/>
    <col min="10" max="10" width="15.5703125" style="1277" customWidth="1"/>
    <col min="11" max="11" width="2.5703125" style="1277" customWidth="1"/>
    <col min="12" max="12" width="15" style="1277" bestFit="1" customWidth="1"/>
    <col min="13" max="13" width="1.140625" style="1277" customWidth="1"/>
    <col min="14" max="14" width="15" style="1277" customWidth="1"/>
    <col min="15" max="15" width="1.42578125" style="1277" customWidth="1"/>
    <col min="16" max="16" width="14.7109375" style="1277" customWidth="1"/>
    <col min="17" max="17" width="2.85546875" style="1277" customWidth="1"/>
    <col min="18" max="18" width="13.85546875" style="1277" customWidth="1"/>
    <col min="19" max="19" width="2" style="1277" customWidth="1"/>
    <col min="20" max="20" width="13.5703125" style="1277" customWidth="1"/>
    <col min="21" max="16384" width="9.140625" style="1277"/>
  </cols>
  <sheetData>
    <row r="1" spans="1:7">
      <c r="A1" s="200"/>
      <c r="B1" s="200"/>
      <c r="C1" s="200"/>
      <c r="D1" s="200"/>
      <c r="E1" s="200"/>
      <c r="F1" s="233"/>
      <c r="G1" s="216"/>
    </row>
    <row r="2" spans="1:7">
      <c r="A2" s="200"/>
      <c r="C2" s="1278" t="s">
        <v>217</v>
      </c>
      <c r="D2" s="1278" t="s">
        <v>218</v>
      </c>
      <c r="F2" s="1256" t="s">
        <v>219</v>
      </c>
      <c r="G2" s="216"/>
    </row>
    <row r="3" spans="1:7">
      <c r="A3" s="200"/>
      <c r="G3" s="216"/>
    </row>
    <row r="4" spans="1:7">
      <c r="A4" s="200"/>
      <c r="B4" s="1279" t="s">
        <v>220</v>
      </c>
      <c r="C4" s="1280">
        <f>C5/C6</f>
        <v>1.3252151200377241E-2</v>
      </c>
      <c r="D4" s="1280">
        <v>9.4719735647937498E-3</v>
      </c>
      <c r="E4" s="1279"/>
      <c r="F4" s="1280">
        <f>F5/F6</f>
        <v>1.2682529878878528</v>
      </c>
      <c r="G4" s="216"/>
    </row>
    <row r="5" spans="1:7">
      <c r="A5" s="200"/>
      <c r="B5" s="1281" t="s">
        <v>221</v>
      </c>
      <c r="C5" s="1282">
        <f>C58</f>
        <v>694915408.38</v>
      </c>
      <c r="D5" s="1283">
        <v>683361596.17999995</v>
      </c>
      <c r="E5" s="1279"/>
      <c r="F5" s="1282">
        <f>F58</f>
        <v>-149870996676.51001</v>
      </c>
      <c r="G5" s="216"/>
    </row>
    <row r="6" spans="1:7">
      <c r="A6" s="200"/>
      <c r="B6" s="1284" t="s">
        <v>222</v>
      </c>
      <c r="C6" s="1285">
        <f>C115</f>
        <v>52437932368.310005</v>
      </c>
      <c r="D6" s="1285">
        <v>72145640135.650024</v>
      </c>
      <c r="E6" s="1279"/>
      <c r="F6" s="1285">
        <f>F115</f>
        <v>-118171215134.37552</v>
      </c>
      <c r="G6" s="216"/>
    </row>
    <row r="7" spans="1:7">
      <c r="A7" s="200"/>
      <c r="G7" s="216"/>
    </row>
    <row r="8" spans="1:7">
      <c r="A8" s="200"/>
      <c r="G8" s="216"/>
    </row>
    <row r="9" spans="1:7">
      <c r="A9" s="200"/>
      <c r="C9" s="1278" t="s">
        <v>223</v>
      </c>
      <c r="D9" s="1278" t="s">
        <v>218</v>
      </c>
      <c r="F9" s="1256" t="s">
        <v>53</v>
      </c>
      <c r="G9" s="216"/>
    </row>
    <row r="10" spans="1:7">
      <c r="A10" s="200"/>
      <c r="B10" s="1258" t="s">
        <v>224</v>
      </c>
      <c r="G10" s="216"/>
    </row>
    <row r="11" spans="1:7">
      <c r="A11" s="200"/>
      <c r="B11" s="1258" t="s">
        <v>225</v>
      </c>
      <c r="G11" s="216"/>
    </row>
    <row r="12" spans="1:7">
      <c r="A12" s="200"/>
      <c r="B12" s="1277" t="s">
        <v>225</v>
      </c>
      <c r="C12" s="189">
        <v>45722340.839999996</v>
      </c>
      <c r="D12" s="189">
        <v>75343881.079999998</v>
      </c>
      <c r="F12" s="189">
        <v>120699473.77000001</v>
      </c>
      <c r="G12" s="216"/>
    </row>
    <row r="13" spans="1:7">
      <c r="A13" s="200"/>
      <c r="B13" s="1277" t="s">
        <v>226</v>
      </c>
      <c r="C13" s="189">
        <v>135209159.50999999</v>
      </c>
      <c r="D13" s="189">
        <v>109675221.41000001</v>
      </c>
      <c r="F13" s="189">
        <v>117430778.66000001</v>
      </c>
      <c r="G13" s="216"/>
    </row>
    <row r="14" spans="1:7">
      <c r="A14" s="200"/>
      <c r="B14" s="1277" t="s">
        <v>227</v>
      </c>
      <c r="C14" s="189">
        <v>39559915.280000009</v>
      </c>
      <c r="D14" s="189">
        <v>44533932.860000007</v>
      </c>
      <c r="F14" s="189">
        <v>35857278.399999999</v>
      </c>
      <c r="G14" s="216"/>
    </row>
    <row r="15" spans="1:7">
      <c r="A15" s="200"/>
      <c r="B15" s="1277" t="s">
        <v>228</v>
      </c>
      <c r="C15" s="189">
        <v>27439149.23</v>
      </c>
      <c r="D15" s="189">
        <v>27535902.049999993</v>
      </c>
      <c r="F15" s="189">
        <v>0</v>
      </c>
      <c r="G15" s="216"/>
    </row>
    <row r="16" spans="1:7">
      <c r="A16" s="200"/>
      <c r="B16" s="193" t="s">
        <v>229</v>
      </c>
      <c r="C16" s="189"/>
      <c r="D16" s="189"/>
      <c r="F16" s="189">
        <v>461991</v>
      </c>
      <c r="G16" s="216"/>
    </row>
    <row r="17" spans="1:7">
      <c r="A17" s="200"/>
      <c r="C17" s="1286">
        <f>C12+C13+C14-C15</f>
        <v>193052266.40000001</v>
      </c>
      <c r="D17" s="1287">
        <v>202017133.30000004</v>
      </c>
      <c r="F17" s="1286">
        <f>F12+F13+F14-F15-F16</f>
        <v>273525539.82999998</v>
      </c>
      <c r="G17" s="209"/>
    </row>
    <row r="18" spans="1:7">
      <c r="A18" s="200"/>
      <c r="G18" s="216"/>
    </row>
    <row r="19" spans="1:7">
      <c r="A19" s="200"/>
      <c r="B19" s="1258" t="s">
        <v>230</v>
      </c>
      <c r="G19" s="216"/>
    </row>
    <row r="20" spans="1:7">
      <c r="A20" s="200"/>
      <c r="B20" s="1288" t="s">
        <v>231</v>
      </c>
      <c r="C20" s="1289">
        <v>270073440.19000006</v>
      </c>
      <c r="D20" s="1289">
        <v>243082979.75999996</v>
      </c>
      <c r="F20" s="189">
        <v>3353375</v>
      </c>
      <c r="G20" s="216"/>
    </row>
    <row r="21" spans="1:7">
      <c r="A21" s="200"/>
      <c r="B21" s="1288" t="s">
        <v>232</v>
      </c>
      <c r="C21" s="1289">
        <v>12965981.180000002</v>
      </c>
      <c r="D21" s="1289">
        <v>12023478.640000001</v>
      </c>
      <c r="F21" s="189">
        <v>45385342521.530014</v>
      </c>
      <c r="G21" s="216"/>
    </row>
    <row r="22" spans="1:7">
      <c r="A22" s="200"/>
      <c r="B22" s="1288" t="s">
        <v>233</v>
      </c>
      <c r="C22" s="1289">
        <v>40074113.68</v>
      </c>
      <c r="D22" s="1289">
        <v>37785864.419999994</v>
      </c>
      <c r="G22" s="216"/>
    </row>
    <row r="23" spans="1:7">
      <c r="A23" s="200"/>
      <c r="B23" s="193" t="s">
        <v>229</v>
      </c>
      <c r="C23" s="1289"/>
      <c r="D23" s="1289"/>
      <c r="F23" s="189">
        <v>44736812226.460007</v>
      </c>
      <c r="G23" s="216"/>
    </row>
    <row r="24" spans="1:7">
      <c r="A24" s="200" t="s">
        <v>234</v>
      </c>
      <c r="C24" s="1290">
        <f>C20-C21-C22</f>
        <v>217033345.33000004</v>
      </c>
      <c r="D24" s="1291">
        <v>193273636.69999996</v>
      </c>
      <c r="F24" s="1292">
        <f>F20-F21-F22-F23</f>
        <v>-90118801372.990021</v>
      </c>
      <c r="G24" s="209"/>
    </row>
    <row r="25" spans="1:7">
      <c r="A25" s="200"/>
      <c r="G25" s="216"/>
    </row>
    <row r="26" spans="1:7">
      <c r="A26" s="200"/>
      <c r="B26" s="195" t="s">
        <v>235</v>
      </c>
      <c r="G26" s="216"/>
    </row>
    <row r="27" spans="1:7">
      <c r="A27" s="200"/>
      <c r="B27" s="1288" t="s">
        <v>236</v>
      </c>
      <c r="C27" s="1293">
        <v>313941177.99000001</v>
      </c>
      <c r="D27" s="1293">
        <v>337357583.04999995</v>
      </c>
      <c r="F27" s="189">
        <v>315156</v>
      </c>
      <c r="G27" s="216"/>
    </row>
    <row r="28" spans="1:7">
      <c r="A28" s="200"/>
      <c r="B28" s="1288" t="s">
        <v>237</v>
      </c>
      <c r="C28" s="1293">
        <v>35854598.030000009</v>
      </c>
      <c r="D28" s="1293">
        <v>31118402.519999996</v>
      </c>
      <c r="F28" s="189">
        <v>0</v>
      </c>
      <c r="G28" s="216"/>
    </row>
    <row r="29" spans="1:7">
      <c r="A29" s="200"/>
      <c r="B29" s="1288" t="s">
        <v>238</v>
      </c>
      <c r="C29" s="1293">
        <v>56237726.43</v>
      </c>
      <c r="D29" s="1293">
        <v>62579936.930000015</v>
      </c>
      <c r="F29" s="189">
        <v>29335051611.689999</v>
      </c>
      <c r="G29" s="216"/>
    </row>
    <row r="30" spans="1:7">
      <c r="A30" s="200"/>
      <c r="B30" s="193" t="s">
        <v>229</v>
      </c>
      <c r="C30" s="1293"/>
      <c r="D30" s="1293"/>
      <c r="F30" s="189">
        <v>28569569596.599995</v>
      </c>
      <c r="G30" s="216"/>
    </row>
    <row r="31" spans="1:7">
      <c r="A31" s="200"/>
      <c r="C31" s="1290">
        <f>C27-C28-C29</f>
        <v>221848853.52999997</v>
      </c>
      <c r="D31" s="1291">
        <v>243659243.59999996</v>
      </c>
      <c r="F31" s="1292">
        <f>F27-F28-F29-F30</f>
        <v>-57904306052.289993</v>
      </c>
      <c r="G31" s="209"/>
    </row>
    <row r="32" spans="1:7">
      <c r="A32" s="200"/>
      <c r="G32" s="216"/>
    </row>
    <row r="33" spans="1:7">
      <c r="A33" s="200"/>
      <c r="B33" s="195" t="s">
        <v>239</v>
      </c>
      <c r="G33" s="216"/>
    </row>
    <row r="34" spans="1:7">
      <c r="A34" s="200"/>
      <c r="B34" s="1288" t="s">
        <v>240</v>
      </c>
      <c r="C34" s="1294">
        <v>26769900.030000001</v>
      </c>
      <c r="D34" s="1294">
        <v>7171699.1399999997</v>
      </c>
      <c r="F34" s="189">
        <v>0</v>
      </c>
      <c r="G34" s="216"/>
    </row>
    <row r="35" spans="1:7">
      <c r="A35" s="200"/>
      <c r="B35" s="1288" t="s">
        <v>241</v>
      </c>
      <c r="C35" s="1294">
        <v>3624691.86</v>
      </c>
      <c r="D35" s="1294">
        <v>30955.870000000003</v>
      </c>
      <c r="F35" s="189">
        <v>11982727.990000002</v>
      </c>
      <c r="G35" s="216"/>
    </row>
    <row r="36" spans="1:7">
      <c r="A36" s="200"/>
      <c r="B36" s="197" t="s">
        <v>233</v>
      </c>
      <c r="C36" s="1294">
        <v>3145716.4</v>
      </c>
      <c r="D36" s="1294">
        <v>1241508.69</v>
      </c>
      <c r="F36" s="189">
        <v>0</v>
      </c>
      <c r="G36" s="216"/>
    </row>
    <row r="37" spans="1:7">
      <c r="A37" s="200"/>
      <c r="B37" s="193" t="s">
        <v>229</v>
      </c>
      <c r="C37" s="1294"/>
      <c r="D37" s="1294"/>
      <c r="F37" s="189">
        <v>2096977763.2099998</v>
      </c>
      <c r="G37" s="216"/>
    </row>
    <row r="38" spans="1:7">
      <c r="A38" s="200"/>
      <c r="C38" s="1290">
        <f>C34-C35-C36</f>
        <v>19999491.770000003</v>
      </c>
      <c r="D38" s="1291">
        <v>5899234.5800000001</v>
      </c>
      <c r="E38" s="189"/>
      <c r="F38" s="1292">
        <f>F34-F35-F36-F37</f>
        <v>-2108960491.1999998</v>
      </c>
      <c r="G38" s="209"/>
    </row>
    <row r="39" spans="1:7">
      <c r="A39" s="200"/>
      <c r="C39" s="1291"/>
      <c r="D39" s="1291"/>
      <c r="E39" s="189"/>
      <c r="G39" s="216"/>
    </row>
    <row r="40" spans="1:7">
      <c r="A40" s="200"/>
      <c r="B40" s="195" t="s">
        <v>242</v>
      </c>
      <c r="C40" s="1291"/>
      <c r="D40" s="1291"/>
      <c r="E40" s="189"/>
      <c r="G40" s="216"/>
    </row>
    <row r="41" spans="1:7">
      <c r="A41" s="200"/>
      <c r="B41" s="193" t="s">
        <v>240</v>
      </c>
      <c r="C41" s="1291"/>
      <c r="D41" s="1291"/>
      <c r="E41" s="189"/>
      <c r="F41" s="189">
        <v>148110.45000000001</v>
      </c>
      <c r="G41" s="216"/>
    </row>
    <row r="42" spans="1:7">
      <c r="A42" s="200"/>
      <c r="B42" s="193" t="s">
        <v>243</v>
      </c>
      <c r="C42" s="1291"/>
      <c r="D42" s="1291"/>
      <c r="E42" s="189"/>
      <c r="F42" s="189">
        <v>0</v>
      </c>
      <c r="G42" s="216"/>
    </row>
    <row r="43" spans="1:7">
      <c r="A43" s="200"/>
      <c r="B43" s="193" t="s">
        <v>244</v>
      </c>
      <c r="C43" s="1291"/>
      <c r="D43" s="1291"/>
      <c r="E43" s="189"/>
      <c r="G43" s="216"/>
    </row>
    <row r="44" spans="1:7">
      <c r="A44" s="200"/>
      <c r="C44" s="1291"/>
      <c r="D44" s="1291"/>
      <c r="E44" s="189"/>
      <c r="F44" s="1292">
        <f>F41-F42-F43</f>
        <v>148110.45000000001</v>
      </c>
      <c r="G44" s="216"/>
    </row>
    <row r="45" spans="1:7">
      <c r="A45" s="200"/>
      <c r="C45" s="1291"/>
      <c r="D45" s="1291"/>
      <c r="E45" s="189"/>
      <c r="G45" s="216"/>
    </row>
    <row r="46" spans="1:7">
      <c r="A46" s="200"/>
      <c r="B46" s="196" t="s">
        <v>245</v>
      </c>
      <c r="C46" s="1291"/>
      <c r="D46" s="1291"/>
      <c r="E46" s="189"/>
      <c r="G46" s="216"/>
    </row>
    <row r="47" spans="1:7">
      <c r="A47" s="200"/>
      <c r="B47" s="1277" t="s">
        <v>246</v>
      </c>
      <c r="C47" s="1287">
        <v>25207103</v>
      </c>
      <c r="D47" s="1287">
        <v>21588973</v>
      </c>
      <c r="E47" s="189"/>
      <c r="F47" s="1295">
        <v>765475</v>
      </c>
      <c r="G47" s="216"/>
    </row>
    <row r="48" spans="1:7">
      <c r="A48" s="200"/>
      <c r="B48" s="1288" t="s">
        <v>247</v>
      </c>
      <c r="C48" s="1287">
        <v>3540212.65</v>
      </c>
      <c r="D48" s="1287">
        <v>7698</v>
      </c>
      <c r="E48" s="189"/>
      <c r="F48" s="1295">
        <v>4134460.0000000037</v>
      </c>
      <c r="G48" s="216"/>
    </row>
    <row r="49" spans="1:8">
      <c r="A49" s="200"/>
      <c r="B49" s="193" t="s">
        <v>229</v>
      </c>
      <c r="C49" s="1287"/>
      <c r="D49" s="1287"/>
      <c r="E49" s="189"/>
      <c r="F49" s="1295">
        <v>0</v>
      </c>
      <c r="G49" s="216"/>
    </row>
    <row r="50" spans="1:8">
      <c r="A50" s="200"/>
      <c r="C50" s="1286">
        <f>C47-C48</f>
        <v>21666890.350000001</v>
      </c>
      <c r="D50" s="1287">
        <v>21581275</v>
      </c>
      <c r="F50" s="1286">
        <f>F47-F48-F49</f>
        <v>-3368985.0000000037</v>
      </c>
      <c r="G50" s="209"/>
    </row>
    <row r="51" spans="1:8">
      <c r="A51" s="200"/>
      <c r="B51" s="1258" t="s">
        <v>248</v>
      </c>
      <c r="C51" s="1287"/>
      <c r="D51" s="1287"/>
      <c r="G51" s="216"/>
    </row>
    <row r="52" spans="1:8">
      <c r="A52" s="200"/>
      <c r="B52" s="1277" t="s">
        <v>246</v>
      </c>
      <c r="C52" s="1287">
        <v>24239647</v>
      </c>
      <c r="D52" s="1287">
        <v>17792994</v>
      </c>
      <c r="F52" s="1295">
        <v>13285399.689999998</v>
      </c>
      <c r="G52" s="216"/>
    </row>
    <row r="53" spans="1:8">
      <c r="A53" s="200"/>
      <c r="B53" s="1277" t="s">
        <v>249</v>
      </c>
      <c r="C53" s="1287">
        <v>2925086</v>
      </c>
      <c r="D53" s="1287">
        <v>861921</v>
      </c>
      <c r="F53" s="1295">
        <v>0</v>
      </c>
      <c r="G53" s="216"/>
    </row>
    <row r="54" spans="1:8">
      <c r="A54" s="200"/>
      <c r="B54" s="193" t="s">
        <v>229</v>
      </c>
      <c r="C54" s="1287"/>
      <c r="D54" s="1287"/>
      <c r="F54" s="1295">
        <v>0</v>
      </c>
      <c r="G54" s="216"/>
    </row>
    <row r="55" spans="1:8">
      <c r="A55" s="200"/>
      <c r="B55" s="193" t="s">
        <v>250</v>
      </c>
      <c r="C55" s="1287"/>
      <c r="D55" s="1287"/>
      <c r="F55" s="1295">
        <v>22518825</v>
      </c>
      <c r="G55" s="216"/>
    </row>
    <row r="56" spans="1:8">
      <c r="A56" s="200"/>
      <c r="C56" s="1286">
        <f>C52-C53</f>
        <v>21314561</v>
      </c>
      <c r="D56" s="1287">
        <v>16931073</v>
      </c>
      <c r="F56" s="1286">
        <f>F52-F53-F54-F55</f>
        <v>-9233425.3100000024</v>
      </c>
      <c r="G56" s="209"/>
    </row>
    <row r="57" spans="1:8">
      <c r="A57" s="200"/>
      <c r="C57" s="1287"/>
      <c r="D57" s="1287"/>
      <c r="G57" s="216"/>
    </row>
    <row r="58" spans="1:8">
      <c r="A58" s="200"/>
      <c r="C58" s="1296">
        <f>C17+C24+C31+C38+C50+C56</f>
        <v>694915408.38</v>
      </c>
      <c r="D58" s="1296">
        <v>683361596.17999995</v>
      </c>
      <c r="F58" s="1296">
        <f>F17+F24+F31+F38+F50+F56+F44</f>
        <v>-149870996676.51001</v>
      </c>
      <c r="G58" s="209"/>
    </row>
    <row r="59" spans="1:8">
      <c r="A59" s="200"/>
      <c r="B59" s="196" t="s">
        <v>251</v>
      </c>
      <c r="C59" s="1297"/>
      <c r="D59" s="1297"/>
      <c r="G59" s="216"/>
    </row>
    <row r="60" spans="1:8">
      <c r="A60" s="200"/>
      <c r="B60" s="1258" t="s">
        <v>252</v>
      </c>
      <c r="G60" s="216"/>
    </row>
    <row r="61" spans="1:8">
      <c r="A61" s="200"/>
      <c r="B61" s="197" t="s">
        <v>253</v>
      </c>
      <c r="C61" s="189">
        <v>2991949377.7299995</v>
      </c>
      <c r="D61" s="189">
        <v>4085187840.79</v>
      </c>
      <c r="F61" s="189">
        <v>10385818678.349998</v>
      </c>
      <c r="G61" s="216"/>
    </row>
    <row r="62" spans="1:8">
      <c r="A62" s="200"/>
      <c r="B62" s="197" t="s">
        <v>254</v>
      </c>
      <c r="C62" s="189">
        <v>27439149.23</v>
      </c>
      <c r="D62" s="189">
        <v>27535902.049999993</v>
      </c>
      <c r="F62" s="189">
        <v>0</v>
      </c>
      <c r="G62" s="216"/>
    </row>
    <row r="63" spans="1:8">
      <c r="A63" s="200"/>
      <c r="B63" s="193" t="s">
        <v>229</v>
      </c>
      <c r="C63" s="189"/>
      <c r="D63" s="189"/>
      <c r="F63" s="189">
        <v>207112214.98550001</v>
      </c>
      <c r="G63" s="216"/>
    </row>
    <row r="64" spans="1:8">
      <c r="A64" s="200"/>
      <c r="B64" s="196"/>
      <c r="C64" s="1286">
        <f>C61-C62</f>
        <v>2964510228.4999995</v>
      </c>
      <c r="D64" s="1287">
        <v>4057651938.7399998</v>
      </c>
      <c r="F64" s="1286">
        <f>F61-F62-F63</f>
        <v>10178706463.364498</v>
      </c>
      <c r="G64" s="216"/>
      <c r="H64" s="1294">
        <f>F64+F66+F72+F80+F88+F98+F106+F113</f>
        <v>-118171215134.37552</v>
      </c>
    </row>
    <row r="65" spans="1:7">
      <c r="A65" s="200"/>
      <c r="G65" s="216"/>
    </row>
    <row r="66" spans="1:7">
      <c r="A66" s="200"/>
      <c r="B66" s="1258" t="s">
        <v>255</v>
      </c>
      <c r="C66" s="1294">
        <v>166687327.50000003</v>
      </c>
      <c r="D66" s="1294">
        <v>280111500.69999999</v>
      </c>
      <c r="F66" s="189">
        <v>272463291.88000005</v>
      </c>
      <c r="G66" s="216"/>
    </row>
    <row r="67" spans="1:7">
      <c r="A67" s="200"/>
      <c r="G67" s="216"/>
    </row>
    <row r="68" spans="1:7">
      <c r="A68" s="200"/>
      <c r="B68" s="1258" t="s">
        <v>256</v>
      </c>
      <c r="G68" s="216"/>
    </row>
    <row r="69" spans="1:7">
      <c r="A69" s="200"/>
      <c r="B69" s="197" t="s">
        <v>257</v>
      </c>
      <c r="C69" s="189">
        <v>48905779.479999997</v>
      </c>
      <c r="D69" s="189">
        <v>35176067.170000002</v>
      </c>
      <c r="F69" s="189">
        <v>0</v>
      </c>
      <c r="G69" s="216"/>
    </row>
    <row r="70" spans="1:7">
      <c r="A70" s="200"/>
      <c r="B70" s="1288" t="s">
        <v>258</v>
      </c>
      <c r="C70" s="189">
        <v>3540212.65</v>
      </c>
      <c r="D70" s="189">
        <v>3540212.65</v>
      </c>
      <c r="F70" s="189">
        <v>0</v>
      </c>
      <c r="G70" s="216"/>
    </row>
    <row r="71" spans="1:7">
      <c r="A71" s="200"/>
      <c r="B71" s="193" t="s">
        <v>229</v>
      </c>
      <c r="C71" s="189"/>
      <c r="D71" s="189"/>
      <c r="F71" s="189">
        <v>0</v>
      </c>
      <c r="G71" s="216"/>
    </row>
    <row r="72" spans="1:7">
      <c r="A72" s="200"/>
      <c r="B72" s="197"/>
      <c r="C72" s="436">
        <f>C69-C70</f>
        <v>45365566.829999998</v>
      </c>
      <c r="D72" s="439">
        <v>31635854.520000003</v>
      </c>
      <c r="F72" s="436">
        <f>F69-F70-F71</f>
        <v>0</v>
      </c>
      <c r="G72" s="216"/>
    </row>
    <row r="73" spans="1:7">
      <c r="A73" s="200"/>
      <c r="B73" s="197"/>
      <c r="C73" s="189"/>
      <c r="D73" s="189"/>
      <c r="G73" s="216"/>
    </row>
    <row r="74" spans="1:7">
      <c r="A74" s="200"/>
      <c r="B74" s="1258" t="s">
        <v>230</v>
      </c>
      <c r="G74" s="216"/>
    </row>
    <row r="75" spans="1:7">
      <c r="A75" s="200"/>
      <c r="B75" s="1288" t="s">
        <v>259</v>
      </c>
      <c r="C75" s="189">
        <v>29622886305.889996</v>
      </c>
      <c r="D75" s="189">
        <v>45195702907.280006</v>
      </c>
      <c r="F75" s="189">
        <v>13604796315.329998</v>
      </c>
      <c r="G75" s="216"/>
    </row>
    <row r="76" spans="1:7">
      <c r="A76" s="200"/>
      <c r="B76" s="1288" t="s">
        <v>260</v>
      </c>
      <c r="C76" s="189">
        <v>6430195546.2000008</v>
      </c>
      <c r="D76" s="189">
        <v>9543244914.2400017</v>
      </c>
      <c r="F76" s="189">
        <v>648530295.07000005</v>
      </c>
      <c r="G76" s="216"/>
    </row>
    <row r="77" spans="1:7">
      <c r="A77" s="200"/>
      <c r="B77" s="1288" t="s">
        <v>261</v>
      </c>
      <c r="C77" s="189">
        <v>12965981.180000002</v>
      </c>
      <c r="D77" s="189">
        <v>12023478.640000001</v>
      </c>
      <c r="F77" s="189">
        <v>45385342521.530014</v>
      </c>
      <c r="G77" s="216"/>
    </row>
    <row r="78" spans="1:7">
      <c r="A78" s="200"/>
      <c r="B78" s="1288" t="s">
        <v>262</v>
      </c>
      <c r="C78" s="189">
        <v>40074113.68</v>
      </c>
      <c r="D78" s="189">
        <v>37785864.419999994</v>
      </c>
      <c r="G78" s="216"/>
    </row>
    <row r="79" spans="1:7">
      <c r="A79" s="200"/>
      <c r="B79" s="193" t="s">
        <v>229</v>
      </c>
      <c r="C79" s="189"/>
      <c r="D79" s="189"/>
      <c r="F79" s="189">
        <v>44736812226.460007</v>
      </c>
      <c r="G79" s="216"/>
    </row>
    <row r="80" spans="1:7">
      <c r="A80" s="200"/>
      <c r="C80" s="1286">
        <f>C75-C76-C77-C78</f>
        <v>23139650664.829994</v>
      </c>
      <c r="D80" s="1287">
        <v>35602648649.980011</v>
      </c>
      <c r="F80" s="1286">
        <f>F75-F76-F77-F78-F79</f>
        <v>-77165888727.730026</v>
      </c>
      <c r="G80" s="216"/>
    </row>
    <row r="81" spans="1:7">
      <c r="A81" s="200"/>
      <c r="G81" s="216"/>
    </row>
    <row r="82" spans="1:7">
      <c r="A82" s="200"/>
      <c r="B82" s="195" t="s">
        <v>235</v>
      </c>
      <c r="G82" s="216"/>
    </row>
    <row r="83" spans="1:7">
      <c r="A83" s="200"/>
      <c r="B83" s="1288" t="s">
        <v>263</v>
      </c>
      <c r="C83" s="189">
        <v>33500414904.480007</v>
      </c>
      <c r="D83" s="189">
        <v>41112420943.740013</v>
      </c>
      <c r="F83" s="189">
        <v>8323964581.7400007</v>
      </c>
      <c r="G83" s="216"/>
    </row>
    <row r="84" spans="1:7">
      <c r="A84" s="200"/>
      <c r="B84" s="1288" t="s">
        <v>264</v>
      </c>
      <c r="C84" s="189">
        <v>7681534818.0499992</v>
      </c>
      <c r="D84" s="189">
        <v>9017975598.8099995</v>
      </c>
      <c r="F84" s="189">
        <v>765482015.09000015</v>
      </c>
      <c r="G84" s="216"/>
    </row>
    <row r="85" spans="1:7">
      <c r="A85" s="200"/>
      <c r="B85" s="1288" t="s">
        <v>265</v>
      </c>
      <c r="C85" s="189">
        <v>35854598.030000009</v>
      </c>
      <c r="D85" s="189">
        <v>31118402.519999996</v>
      </c>
      <c r="F85" s="189">
        <v>0</v>
      </c>
      <c r="G85" s="216"/>
    </row>
    <row r="86" spans="1:7">
      <c r="A86" s="200"/>
      <c r="B86" s="1288" t="s">
        <v>262</v>
      </c>
      <c r="C86" s="189">
        <v>56237726.43</v>
      </c>
      <c r="D86" s="189">
        <v>62579936.930000015</v>
      </c>
      <c r="F86" s="189">
        <v>29335051611.689999</v>
      </c>
      <c r="G86" s="216"/>
    </row>
    <row r="87" spans="1:7">
      <c r="A87" s="200"/>
      <c r="B87" s="193" t="s">
        <v>229</v>
      </c>
      <c r="C87" s="189"/>
      <c r="D87" s="189"/>
      <c r="F87" s="189">
        <v>28569569596.599995</v>
      </c>
      <c r="G87" s="216"/>
    </row>
    <row r="88" spans="1:7">
      <c r="A88" s="200"/>
      <c r="C88" s="1286">
        <f>C83-C84-C85-C86</f>
        <v>25726787761.970009</v>
      </c>
      <c r="D88" s="1287">
        <v>32000747005.480015</v>
      </c>
      <c r="F88" s="1286">
        <f>F83-F84-F85-F86-F87</f>
        <v>-50346138641.639992</v>
      </c>
      <c r="G88" s="216"/>
    </row>
    <row r="89" spans="1:7">
      <c r="A89" s="200"/>
      <c r="G89" s="216"/>
    </row>
    <row r="90" spans="1:7">
      <c r="A90" s="200"/>
      <c r="B90" s="195"/>
      <c r="C90" s="1294"/>
      <c r="D90" s="1294"/>
      <c r="G90" s="216"/>
    </row>
    <row r="91" spans="1:7">
      <c r="A91" s="200"/>
      <c r="G91" s="216"/>
    </row>
    <row r="92" spans="1:7">
      <c r="A92" s="200"/>
      <c r="B92" s="1258" t="s">
        <v>266</v>
      </c>
      <c r="G92" s="216"/>
    </row>
    <row r="93" spans="1:7">
      <c r="A93" s="200"/>
      <c r="B93" s="1288" t="s">
        <v>267</v>
      </c>
      <c r="C93" s="189">
        <v>208964447.16</v>
      </c>
      <c r="D93" s="189">
        <v>86819061.179999992</v>
      </c>
      <c r="F93" s="189">
        <v>467246516.69</v>
      </c>
      <c r="G93" s="216"/>
    </row>
    <row r="94" spans="1:7">
      <c r="A94" s="200"/>
      <c r="B94" s="1288" t="s">
        <v>268</v>
      </c>
      <c r="C94" s="189">
        <v>22658587.640000001</v>
      </c>
      <c r="D94" s="189">
        <v>8661131.7599999998</v>
      </c>
      <c r="F94" s="189">
        <v>0</v>
      </c>
      <c r="G94" s="216"/>
    </row>
    <row r="95" spans="1:7">
      <c r="A95" s="200"/>
      <c r="B95" s="1288" t="s">
        <v>269</v>
      </c>
      <c r="C95" s="189">
        <v>3624691.86</v>
      </c>
      <c r="D95" s="189">
        <v>30955.870000000003</v>
      </c>
      <c r="F95" s="189">
        <v>11982727.990000002</v>
      </c>
      <c r="G95" s="216"/>
    </row>
    <row r="96" spans="1:7">
      <c r="A96" s="200"/>
      <c r="B96" s="197" t="s">
        <v>262</v>
      </c>
      <c r="C96" s="189">
        <v>3145716.4</v>
      </c>
      <c r="D96" s="189">
        <v>1241508.69</v>
      </c>
      <c r="F96" s="189">
        <v>0</v>
      </c>
      <c r="G96" s="216"/>
    </row>
    <row r="97" spans="1:7">
      <c r="A97" s="200"/>
      <c r="B97" s="193" t="s">
        <v>229</v>
      </c>
      <c r="C97" s="189"/>
      <c r="D97" s="189"/>
      <c r="F97" s="189">
        <v>2096977763.2099998</v>
      </c>
      <c r="G97" s="216"/>
    </row>
    <row r="98" spans="1:7">
      <c r="A98" s="200"/>
      <c r="C98" s="436">
        <f>C93-C94-C95-C96</f>
        <v>179535451.25999996</v>
      </c>
      <c r="D98" s="439">
        <v>76885464.859999985</v>
      </c>
      <c r="F98" s="436">
        <f>F93-F94-F95-F96-F97</f>
        <v>-1641713974.5099998</v>
      </c>
      <c r="G98" s="216"/>
    </row>
    <row r="99" spans="1:7">
      <c r="A99" s="200"/>
      <c r="G99" s="216"/>
    </row>
    <row r="100" spans="1:7">
      <c r="A100" s="200"/>
      <c r="B100" s="195" t="s">
        <v>270</v>
      </c>
      <c r="C100" s="1294"/>
      <c r="D100" s="1294"/>
      <c r="G100" s="216"/>
    </row>
    <row r="101" spans="1:7">
      <c r="A101" s="200"/>
      <c r="B101" s="1288" t="s">
        <v>271</v>
      </c>
      <c r="C101" s="1294">
        <v>18129746.649999999</v>
      </c>
      <c r="D101" s="1294">
        <v>8556515.5800000001</v>
      </c>
      <c r="F101" s="189">
        <v>12706393.950000001</v>
      </c>
      <c r="G101" s="216"/>
    </row>
    <row r="102" spans="1:7">
      <c r="A102" s="200"/>
      <c r="B102" s="1288" t="s">
        <v>272</v>
      </c>
      <c r="C102" s="1294">
        <v>1342305.3</v>
      </c>
      <c r="D102" s="1294">
        <v>609407.73</v>
      </c>
      <c r="F102" s="189">
        <v>0</v>
      </c>
      <c r="G102" s="216"/>
    </row>
    <row r="103" spans="1:7">
      <c r="A103" s="200"/>
      <c r="B103" s="1288" t="s">
        <v>273</v>
      </c>
      <c r="C103" s="1294">
        <v>114846.69</v>
      </c>
      <c r="D103" s="1294">
        <v>80913.89</v>
      </c>
      <c r="F103" s="189">
        <v>0</v>
      </c>
      <c r="G103" s="216"/>
    </row>
    <row r="104" spans="1:7">
      <c r="A104" s="200"/>
      <c r="B104" s="1288" t="s">
        <v>244</v>
      </c>
      <c r="C104" s="1294">
        <v>18072261.940000001</v>
      </c>
      <c r="D104" s="1294">
        <v>8740954.2400000002</v>
      </c>
      <c r="F104" s="189">
        <v>0</v>
      </c>
      <c r="G104" s="216"/>
    </row>
    <row r="105" spans="1:7">
      <c r="A105" s="200"/>
      <c r="B105" s="193" t="s">
        <v>229</v>
      </c>
      <c r="C105" s="1294"/>
      <c r="D105" s="1294"/>
      <c r="F105" s="189">
        <v>0</v>
      </c>
      <c r="G105" s="216"/>
    </row>
    <row r="106" spans="1:7">
      <c r="A106" s="200"/>
      <c r="C106" s="1286">
        <f>C101-C102-C103-C104</f>
        <v>-1399667.2800000031</v>
      </c>
      <c r="D106" s="1287">
        <v>-874760.28000000026</v>
      </c>
      <c r="F106" s="1286">
        <f>F101-F102-F103-F104-F105</f>
        <v>12706393.950000001</v>
      </c>
      <c r="G106" s="216"/>
    </row>
    <row r="107" spans="1:7">
      <c r="A107" s="200"/>
      <c r="G107" s="216"/>
    </row>
    <row r="108" spans="1:7">
      <c r="A108" s="200"/>
      <c r="B108" s="195" t="s">
        <v>248</v>
      </c>
      <c r="G108" s="216"/>
    </row>
    <row r="109" spans="1:7">
      <c r="A109" s="200"/>
      <c r="B109" s="1288" t="s">
        <v>274</v>
      </c>
      <c r="C109" s="189">
        <v>264196503.49000001</v>
      </c>
      <c r="D109" s="189">
        <v>111998663.14</v>
      </c>
      <c r="F109" s="189">
        <v>541511320.30999994</v>
      </c>
      <c r="G109" s="216"/>
    </row>
    <row r="110" spans="1:7">
      <c r="A110" s="200"/>
      <c r="B110" s="1288" t="s">
        <v>275</v>
      </c>
      <c r="C110" s="189">
        <v>47401468.789999999</v>
      </c>
      <c r="D110" s="189">
        <v>15164181.49</v>
      </c>
      <c r="F110" s="189">
        <v>342435</v>
      </c>
      <c r="G110" s="216"/>
    </row>
    <row r="111" spans="1:7">
      <c r="A111" s="200"/>
      <c r="B111" s="193" t="s">
        <v>229</v>
      </c>
      <c r="C111" s="189"/>
      <c r="D111" s="189"/>
      <c r="F111" s="189">
        <v>0</v>
      </c>
      <c r="G111" s="216"/>
    </row>
    <row r="112" spans="1:7">
      <c r="A112" s="200"/>
      <c r="B112" s="193" t="s">
        <v>250</v>
      </c>
      <c r="C112" s="189"/>
      <c r="D112" s="189"/>
      <c r="F112" s="189">
        <v>22518825</v>
      </c>
      <c r="G112" s="216"/>
    </row>
    <row r="113" spans="1:7">
      <c r="A113" s="200"/>
      <c r="C113" s="436">
        <f>C109-C110</f>
        <v>216795034.70000002</v>
      </c>
      <c r="D113" s="439">
        <v>96834481.650000006</v>
      </c>
      <c r="F113" s="436">
        <f>F109-F110-F111-F112</f>
        <v>518650060.30999994</v>
      </c>
      <c r="G113" s="216"/>
    </row>
    <row r="114" spans="1:7">
      <c r="A114" s="200"/>
      <c r="B114" s="195"/>
      <c r="G114" s="216"/>
    </row>
    <row r="115" spans="1:7">
      <c r="A115" s="200"/>
      <c r="B115" s="195"/>
      <c r="C115" s="1296">
        <f>C64+C66+C72+C80+C88+C90+C98+C106+C113</f>
        <v>52437932368.310005</v>
      </c>
      <c r="D115" s="1296">
        <v>72145640135.650024</v>
      </c>
      <c r="F115" s="1296">
        <f>F64+F66+F72+F80+F88+F90+F98+F106+F113</f>
        <v>-118171215134.37552</v>
      </c>
      <c r="G115" s="216"/>
    </row>
    <row r="116" spans="1:7">
      <c r="A116" s="200"/>
      <c r="B116" s="195"/>
      <c r="G116" s="216"/>
    </row>
    <row r="117" spans="1:7">
      <c r="A117" s="200"/>
      <c r="B117" s="195"/>
      <c r="G117" s="216"/>
    </row>
    <row r="118" spans="1:7">
      <c r="A118" s="200"/>
      <c r="B118" s="1298"/>
      <c r="C118" s="200"/>
      <c r="D118" s="200"/>
      <c r="E118" s="200"/>
      <c r="F118" s="233"/>
      <c r="G118" s="216"/>
    </row>
    <row r="119" spans="1:7">
      <c r="A119" s="200"/>
      <c r="B119" s="1288"/>
      <c r="C119" s="1287"/>
      <c r="D119" s="1287"/>
      <c r="G119" s="216"/>
    </row>
    <row r="120" spans="1:7">
      <c r="A120" s="200"/>
      <c r="C120" s="1278" t="s">
        <v>217</v>
      </c>
      <c r="D120" s="1278" t="s">
        <v>218</v>
      </c>
      <c r="F120" s="1256" t="s">
        <v>276</v>
      </c>
      <c r="G120" s="1299"/>
    </row>
    <row r="121" spans="1:7">
      <c r="A121" s="200"/>
      <c r="G121" s="235"/>
    </row>
    <row r="122" spans="1:7">
      <c r="A122" s="200"/>
      <c r="B122" s="1279" t="s">
        <v>277</v>
      </c>
      <c r="C122" s="1280">
        <f>C123/C124</f>
        <v>-2.9898899510332956E-2</v>
      </c>
      <c r="D122" s="1280">
        <v>-1.9786180833451109E-3</v>
      </c>
      <c r="E122" s="1279"/>
      <c r="F122" s="1280">
        <f>F123/F124</f>
        <v>1.1326317448552832</v>
      </c>
      <c r="G122" s="222"/>
    </row>
    <row r="123" spans="1:7">
      <c r="A123" s="200"/>
      <c r="B123" s="1281" t="s">
        <v>278</v>
      </c>
      <c r="C123" s="1282">
        <f>C182</f>
        <v>-1502145061.0300002</v>
      </c>
      <c r="D123" s="1283">
        <v>-141117225.72999999</v>
      </c>
      <c r="E123" s="1279"/>
      <c r="F123" s="1282">
        <f>F182</f>
        <v>-270707036791.02206</v>
      </c>
      <c r="G123" s="1300"/>
    </row>
    <row r="124" spans="1:7">
      <c r="A124" s="200"/>
      <c r="B124" s="1284" t="s">
        <v>279</v>
      </c>
      <c r="C124" s="1285">
        <f>C256</f>
        <v>50240814398.900002</v>
      </c>
      <c r="D124" s="1285">
        <v>71321103813.740036</v>
      </c>
      <c r="E124" s="1279"/>
      <c r="F124" s="1285">
        <f>F256</f>
        <v>-239007107138.4375</v>
      </c>
      <c r="G124" s="209"/>
    </row>
    <row r="125" spans="1:7">
      <c r="A125" s="200"/>
      <c r="G125" s="235"/>
    </row>
    <row r="126" spans="1:7">
      <c r="A126" s="200"/>
      <c r="G126" s="235"/>
    </row>
    <row r="127" spans="1:7">
      <c r="A127" s="200"/>
      <c r="G127" s="235"/>
    </row>
    <row r="128" spans="1:7">
      <c r="A128" s="200"/>
      <c r="B128" s="1258" t="s">
        <v>224</v>
      </c>
      <c r="G128" s="235"/>
    </row>
    <row r="129" spans="1:7">
      <c r="A129" s="200"/>
      <c r="B129" s="1258" t="s">
        <v>225</v>
      </c>
      <c r="G129" s="235"/>
    </row>
    <row r="130" spans="1:7">
      <c r="A130" s="200"/>
      <c r="B130" s="1277" t="s">
        <v>225</v>
      </c>
      <c r="C130" s="189">
        <v>45722340.839999996</v>
      </c>
      <c r="D130" s="189">
        <v>75343881.079999998</v>
      </c>
      <c r="F130" s="189">
        <f>F12</f>
        <v>120699473.77000001</v>
      </c>
      <c r="G130" s="235"/>
    </row>
    <row r="131" spans="1:7">
      <c r="A131" s="200"/>
      <c r="B131" s="1277" t="s">
        <v>226</v>
      </c>
      <c r="C131" s="189">
        <v>135209159.50999999</v>
      </c>
      <c r="D131" s="189">
        <v>109675221.41000001</v>
      </c>
      <c r="F131" s="189">
        <f>F13</f>
        <v>117430778.66000001</v>
      </c>
      <c r="G131" s="235"/>
    </row>
    <row r="132" spans="1:7">
      <c r="A132" s="200"/>
      <c r="B132" s="1277" t="s">
        <v>227</v>
      </c>
      <c r="C132" s="189">
        <v>39559915.280000009</v>
      </c>
      <c r="D132" s="189">
        <v>44533932.860000007</v>
      </c>
      <c r="F132" s="189">
        <f>F14</f>
        <v>35857278.399999999</v>
      </c>
      <c r="G132" s="235"/>
    </row>
    <row r="133" spans="1:7">
      <c r="A133" s="200"/>
      <c r="B133" s="1277" t="s">
        <v>228</v>
      </c>
      <c r="C133" s="189">
        <v>27439149.23</v>
      </c>
      <c r="D133" s="189">
        <v>27535902.049999993</v>
      </c>
      <c r="F133" s="189">
        <f>F15</f>
        <v>0</v>
      </c>
      <c r="G133" s="235"/>
    </row>
    <row r="134" spans="1:7">
      <c r="A134" s="200"/>
      <c r="B134" s="193" t="s">
        <v>229</v>
      </c>
      <c r="C134" s="189"/>
      <c r="D134" s="189"/>
      <c r="F134" s="189">
        <f>F16</f>
        <v>461991</v>
      </c>
      <c r="G134" s="235"/>
    </row>
    <row r="135" spans="1:7">
      <c r="A135" s="200"/>
      <c r="B135" s="1277" t="s">
        <v>280</v>
      </c>
      <c r="C135" s="189">
        <v>130792131.98999999</v>
      </c>
      <c r="D135" s="189">
        <v>200686529.21000001</v>
      </c>
      <c r="F135" s="189">
        <v>0</v>
      </c>
      <c r="G135" s="235"/>
    </row>
    <row r="136" spans="1:7">
      <c r="A136" s="200"/>
      <c r="B136" s="1277" t="s">
        <v>281</v>
      </c>
      <c r="C136" s="189">
        <v>74010792.290000007</v>
      </c>
      <c r="D136" s="189">
        <v>0</v>
      </c>
      <c r="F136" s="189">
        <v>0</v>
      </c>
      <c r="G136" s="235"/>
    </row>
    <row r="137" spans="1:7">
      <c r="A137" s="200"/>
      <c r="C137" s="1286">
        <f>C130+C131+C132-C133-C135-C136</f>
        <v>-11750657.879999995</v>
      </c>
      <c r="D137" s="1287">
        <v>1330604.0900000334</v>
      </c>
      <c r="F137" s="1286">
        <f>F130+F131+F132-F133-F135-F136-F134</f>
        <v>273525539.82999998</v>
      </c>
      <c r="G137" s="209"/>
    </row>
    <row r="138" spans="1:7">
      <c r="A138" s="200"/>
      <c r="G138" s="235"/>
    </row>
    <row r="139" spans="1:7">
      <c r="A139" s="200"/>
      <c r="B139" s="1258" t="s">
        <v>230</v>
      </c>
      <c r="G139" s="235"/>
    </row>
    <row r="140" spans="1:7">
      <c r="A140" s="200"/>
      <c r="B140" s="1288" t="s">
        <v>231</v>
      </c>
      <c r="C140" s="189">
        <v>270073440.19000006</v>
      </c>
      <c r="D140" s="189">
        <v>243082979.75999996</v>
      </c>
      <c r="F140" s="189">
        <f>F20</f>
        <v>3353375</v>
      </c>
      <c r="G140" s="235"/>
    </row>
    <row r="141" spans="1:7">
      <c r="A141" s="200"/>
      <c r="B141" s="1288" t="s">
        <v>232</v>
      </c>
      <c r="C141" s="189">
        <v>12965981.180000002</v>
      </c>
      <c r="D141" s="189">
        <v>12023478.640000001</v>
      </c>
      <c r="F141" s="189">
        <f>F21</f>
        <v>45385342521.530014</v>
      </c>
      <c r="G141" s="235"/>
    </row>
    <row r="142" spans="1:7">
      <c r="A142" s="200"/>
      <c r="B142" s="1288" t="s">
        <v>233</v>
      </c>
      <c r="C142" s="189">
        <v>40074113.68</v>
      </c>
      <c r="D142" s="189">
        <v>37785864.419999994</v>
      </c>
      <c r="F142" s="189">
        <f>F22</f>
        <v>0</v>
      </c>
      <c r="G142" s="235"/>
    </row>
    <row r="143" spans="1:7">
      <c r="A143" s="200"/>
      <c r="B143" s="193" t="s">
        <v>229</v>
      </c>
      <c r="C143" s="189"/>
      <c r="D143" s="189"/>
      <c r="F143" s="189">
        <f>F23</f>
        <v>44736812226.460007</v>
      </c>
      <c r="G143" s="235"/>
    </row>
    <row r="144" spans="1:7">
      <c r="A144" s="200"/>
      <c r="B144" s="1277" t="s">
        <v>280</v>
      </c>
      <c r="C144" s="1301">
        <v>258052423.78999996</v>
      </c>
      <c r="D144" s="1301">
        <v>300808772.26999992</v>
      </c>
      <c r="F144" s="189">
        <v>44892118492.526016</v>
      </c>
      <c r="G144" s="235"/>
    </row>
    <row r="145" spans="1:7">
      <c r="A145" s="200"/>
      <c r="B145" s="1277" t="s">
        <v>281</v>
      </c>
      <c r="C145" s="1302">
        <v>581133348.16000021</v>
      </c>
      <c r="D145" s="1303">
        <v>0</v>
      </c>
      <c r="F145" s="189">
        <v>44892118492.526016</v>
      </c>
      <c r="G145" s="235"/>
    </row>
    <row r="146" spans="1:7">
      <c r="A146" s="200"/>
      <c r="C146" s="436">
        <f>C140-C141-C142-C144-C145</f>
        <v>-622152426.62000012</v>
      </c>
      <c r="D146" s="439">
        <v>-107535135.56999996</v>
      </c>
      <c r="F146" s="1286">
        <f>F140-F141-F142-F144-F145-F143</f>
        <v>-179903038358.04205</v>
      </c>
      <c r="G146" s="209"/>
    </row>
    <row r="147" spans="1:7">
      <c r="A147" s="200"/>
      <c r="C147" s="189"/>
      <c r="D147" s="189"/>
      <c r="G147" s="235"/>
    </row>
    <row r="148" spans="1:7">
      <c r="A148" s="200"/>
      <c r="B148" s="195" t="s">
        <v>235</v>
      </c>
      <c r="C148" s="189"/>
      <c r="D148" s="189"/>
      <c r="G148" s="235"/>
    </row>
    <row r="149" spans="1:7">
      <c r="A149" s="200"/>
      <c r="B149" s="1288" t="s">
        <v>236</v>
      </c>
      <c r="C149" s="189">
        <v>313941177.99000001</v>
      </c>
      <c r="D149" s="189">
        <v>337357583.04999995</v>
      </c>
      <c r="F149" s="189">
        <f>F27</f>
        <v>315156</v>
      </c>
      <c r="G149" s="235"/>
    </row>
    <row r="150" spans="1:7">
      <c r="A150" s="200"/>
      <c r="B150" s="1288" t="s">
        <v>237</v>
      </c>
      <c r="C150" s="189">
        <v>35854598.030000009</v>
      </c>
      <c r="D150" s="189">
        <v>31118402.519999996</v>
      </c>
      <c r="F150" s="189">
        <f>F28</f>
        <v>0</v>
      </c>
      <c r="G150" s="235"/>
    </row>
    <row r="151" spans="1:7">
      <c r="A151" s="200"/>
      <c r="B151" s="1288" t="s">
        <v>238</v>
      </c>
      <c r="C151" s="189">
        <v>56237726.43</v>
      </c>
      <c r="D151" s="189">
        <v>62579936.930000015</v>
      </c>
      <c r="F151" s="189">
        <f>F29</f>
        <v>29335051611.689999</v>
      </c>
      <c r="G151" s="235"/>
    </row>
    <row r="152" spans="1:7">
      <c r="A152" s="200"/>
      <c r="B152" s="193" t="s">
        <v>229</v>
      </c>
      <c r="C152" s="189"/>
      <c r="D152" s="189"/>
      <c r="F152" s="189">
        <f>F30</f>
        <v>28569569596.599995</v>
      </c>
      <c r="G152" s="235"/>
    </row>
    <row r="153" spans="1:7">
      <c r="A153" s="200"/>
      <c r="B153" s="1277" t="s">
        <v>280</v>
      </c>
      <c r="C153" s="1301">
        <v>202422251.53999999</v>
      </c>
      <c r="D153" s="1301">
        <v>280170833.45000005</v>
      </c>
      <c r="F153" s="189">
        <v>28899844446.689999</v>
      </c>
      <c r="G153" s="235"/>
    </row>
    <row r="154" spans="1:7">
      <c r="A154" s="200"/>
      <c r="B154" s="1277" t="s">
        <v>281</v>
      </c>
      <c r="C154" s="1302">
        <v>847437099.07000005</v>
      </c>
      <c r="D154" s="1303">
        <v>0</v>
      </c>
      <c r="F154" s="189">
        <v>0</v>
      </c>
      <c r="G154" s="235"/>
    </row>
    <row r="155" spans="1:7">
      <c r="A155" s="200"/>
      <c r="C155" s="436">
        <f>C149-C150-C151-C153-C154</f>
        <v>-828010497.08000004</v>
      </c>
      <c r="D155" s="439">
        <v>-36511589.850000083</v>
      </c>
      <c r="F155" s="436">
        <f>F149-F150-F151-F153-F154-F152</f>
        <v>-86804150498.979996</v>
      </c>
      <c r="G155" s="235"/>
    </row>
    <row r="156" spans="1:7">
      <c r="A156" s="200"/>
      <c r="C156" s="189"/>
      <c r="D156" s="189"/>
      <c r="G156" s="235"/>
    </row>
    <row r="157" spans="1:7">
      <c r="A157" s="200"/>
      <c r="B157" s="195" t="s">
        <v>239</v>
      </c>
      <c r="C157" s="189"/>
      <c r="D157" s="189"/>
      <c r="G157" s="235"/>
    </row>
    <row r="158" spans="1:7">
      <c r="A158" s="200"/>
      <c r="B158" s="1288" t="s">
        <v>282</v>
      </c>
      <c r="C158" s="189">
        <v>26769900.030000001</v>
      </c>
      <c r="D158" s="189">
        <v>7171699.1399999997</v>
      </c>
      <c r="F158" s="189">
        <f>F34</f>
        <v>0</v>
      </c>
      <c r="G158" s="235"/>
    </row>
    <row r="159" spans="1:7">
      <c r="A159" s="200"/>
      <c r="B159" s="1288" t="s">
        <v>241</v>
      </c>
      <c r="C159" s="189">
        <v>3624691.86</v>
      </c>
      <c r="D159" s="189">
        <v>30955.870000000003</v>
      </c>
      <c r="F159" s="189">
        <f>F35</f>
        <v>11982727.990000002</v>
      </c>
      <c r="G159" s="235"/>
    </row>
    <row r="160" spans="1:7">
      <c r="A160" s="200"/>
      <c r="B160" s="197" t="s">
        <v>233</v>
      </c>
      <c r="C160" s="189">
        <v>3145716.4</v>
      </c>
      <c r="D160" s="189">
        <v>1241508.69</v>
      </c>
      <c r="F160" s="189">
        <f>F36</f>
        <v>0</v>
      </c>
      <c r="G160" s="235"/>
    </row>
    <row r="161" spans="1:7">
      <c r="A161" s="200"/>
      <c r="B161" s="193" t="s">
        <v>229</v>
      </c>
      <c r="C161" s="189"/>
      <c r="D161" s="189"/>
      <c r="F161" s="189">
        <f>F37</f>
        <v>2096977763.2099998</v>
      </c>
      <c r="G161" s="235"/>
    </row>
    <row r="162" spans="1:7">
      <c r="A162" s="200"/>
      <c r="B162" s="1277" t="s">
        <v>280</v>
      </c>
      <c r="C162" s="1301">
        <v>10636211.27</v>
      </c>
      <c r="D162" s="1301">
        <v>6094025.7199999997</v>
      </c>
      <c r="F162" s="189">
        <v>33407768.550000012</v>
      </c>
      <c r="G162" s="198"/>
    </row>
    <row r="163" spans="1:7">
      <c r="A163" s="200"/>
      <c r="B163" s="1277" t="s">
        <v>281</v>
      </c>
      <c r="C163" s="1301">
        <v>20719254.199999999</v>
      </c>
      <c r="D163" s="1301">
        <v>0</v>
      </c>
      <c r="F163" s="189">
        <v>2118402803.7699997</v>
      </c>
      <c r="G163" s="235"/>
    </row>
    <row r="164" spans="1:7">
      <c r="A164" s="200"/>
      <c r="C164" s="436">
        <f>C158-C159-C160-C162-C163</f>
        <v>-11355973.699999996</v>
      </c>
      <c r="D164" s="439">
        <v>-194791.13999999966</v>
      </c>
      <c r="E164" s="189"/>
      <c r="F164" s="436">
        <f>F158-F159-F160-F162-F163-F161</f>
        <v>-4260771063.5199995</v>
      </c>
      <c r="G164" s="235"/>
    </row>
    <row r="165" spans="1:7">
      <c r="A165" s="200"/>
      <c r="C165" s="439"/>
      <c r="D165" s="439"/>
      <c r="E165" s="189"/>
      <c r="G165" s="235"/>
    </row>
    <row r="166" spans="1:7">
      <c r="A166" s="200"/>
      <c r="B166" s="196" t="s">
        <v>245</v>
      </c>
      <c r="C166" s="439"/>
      <c r="D166" s="439"/>
      <c r="E166" s="189"/>
      <c r="G166" s="235"/>
    </row>
    <row r="167" spans="1:7">
      <c r="A167" s="200"/>
      <c r="B167" s="1277" t="s">
        <v>246</v>
      </c>
      <c r="C167" s="439">
        <v>25207103</v>
      </c>
      <c r="D167" s="439">
        <v>21588973</v>
      </c>
      <c r="E167" s="189"/>
      <c r="F167" s="189">
        <f>F47</f>
        <v>765475</v>
      </c>
      <c r="G167" s="235"/>
    </row>
    <row r="168" spans="1:7">
      <c r="A168" s="200"/>
      <c r="B168" s="1288" t="s">
        <v>262</v>
      </c>
      <c r="C168" s="439">
        <v>3540212.65</v>
      </c>
      <c r="D168" s="439">
        <v>7698</v>
      </c>
      <c r="E168" s="189"/>
      <c r="F168" s="189">
        <f>F48</f>
        <v>4134460.0000000037</v>
      </c>
      <c r="G168" s="235"/>
    </row>
    <row r="169" spans="1:7">
      <c r="A169" s="200"/>
      <c r="B169" s="193" t="s">
        <v>229</v>
      </c>
      <c r="C169" s="439"/>
      <c r="D169" s="439"/>
      <c r="E169" s="189"/>
      <c r="F169" s="189">
        <f>F71</f>
        <v>0</v>
      </c>
      <c r="G169" s="235"/>
    </row>
    <row r="170" spans="1:7">
      <c r="A170" s="200"/>
      <c r="B170" s="1277" t="s">
        <v>280</v>
      </c>
      <c r="C170" s="1301">
        <v>24981322.710000001</v>
      </c>
      <c r="D170" s="1301">
        <v>21738457.449999999</v>
      </c>
      <c r="E170" s="189"/>
      <c r="F170" s="189">
        <v>0</v>
      </c>
      <c r="G170" s="235"/>
    </row>
    <row r="171" spans="1:7">
      <c r="A171" s="200"/>
      <c r="B171" s="1277" t="s">
        <v>281</v>
      </c>
      <c r="C171" s="1301">
        <v>3558467.78</v>
      </c>
      <c r="D171" s="1301">
        <v>0</v>
      </c>
      <c r="E171" s="189"/>
      <c r="F171" s="189">
        <v>0</v>
      </c>
      <c r="G171" s="235"/>
    </row>
    <row r="172" spans="1:7">
      <c r="A172" s="200"/>
      <c r="C172" s="436">
        <f>C167-C168-C170-C171</f>
        <v>-6872900.1399999987</v>
      </c>
      <c r="D172" s="439">
        <v>-157182.44999999925</v>
      </c>
      <c r="F172" s="436">
        <f>F167-F168-F170-F171-F169</f>
        <v>-3368985.0000000037</v>
      </c>
      <c r="G172" s="235"/>
    </row>
    <row r="173" spans="1:7">
      <c r="A173" s="200"/>
      <c r="B173" s="1258" t="s">
        <v>248</v>
      </c>
      <c r="C173" s="439"/>
      <c r="D173" s="439"/>
      <c r="G173" s="235"/>
    </row>
    <row r="174" spans="1:7">
      <c r="A174" s="200"/>
      <c r="B174" s="1277" t="s">
        <v>246</v>
      </c>
      <c r="C174" s="439">
        <v>24239647</v>
      </c>
      <c r="D174" s="439">
        <v>17792994</v>
      </c>
      <c r="F174" s="189">
        <f>F52</f>
        <v>13285399.689999998</v>
      </c>
      <c r="G174" s="235"/>
    </row>
    <row r="175" spans="1:7">
      <c r="A175" s="200"/>
      <c r="B175" s="1277" t="s">
        <v>249</v>
      </c>
      <c r="C175" s="439">
        <v>2925086</v>
      </c>
      <c r="D175" s="439">
        <v>861921</v>
      </c>
      <c r="F175" s="189">
        <f>F53</f>
        <v>0</v>
      </c>
      <c r="G175" s="235"/>
    </row>
    <row r="176" spans="1:7">
      <c r="A176" s="200"/>
      <c r="B176" s="193" t="s">
        <v>229</v>
      </c>
      <c r="C176" s="439"/>
      <c r="D176" s="439"/>
      <c r="F176" s="189">
        <f>F54</f>
        <v>0</v>
      </c>
      <c r="G176" s="235"/>
    </row>
    <row r="177" spans="1:7">
      <c r="A177" s="200"/>
      <c r="B177" s="1277" t="s">
        <v>280</v>
      </c>
      <c r="C177" s="1301">
        <v>23368000.870000001</v>
      </c>
      <c r="D177" s="1301">
        <v>14980203.810000001</v>
      </c>
      <c r="F177" s="189">
        <v>0</v>
      </c>
      <c r="G177" s="235"/>
    </row>
    <row r="178" spans="1:7">
      <c r="A178" s="200"/>
      <c r="B178" s="1277" t="s">
        <v>281</v>
      </c>
      <c r="C178" s="1301">
        <v>19949165.739999998</v>
      </c>
      <c r="D178" s="1301">
        <v>0</v>
      </c>
      <c r="F178" s="189">
        <v>0</v>
      </c>
      <c r="G178" s="235"/>
    </row>
    <row r="179" spans="1:7">
      <c r="A179" s="200"/>
      <c r="B179" s="1277" t="s">
        <v>250</v>
      </c>
      <c r="C179" s="1301"/>
      <c r="D179" s="1301"/>
      <c r="F179" s="189">
        <v>22518825</v>
      </c>
      <c r="G179" s="235"/>
    </row>
    <row r="180" spans="1:7">
      <c r="A180" s="200"/>
      <c r="C180" s="436">
        <f>C174-C175-C177-C178</f>
        <v>-22002605.609999999</v>
      </c>
      <c r="D180" s="439">
        <v>1950869.1899999995</v>
      </c>
      <c r="F180" s="436">
        <f>F174-F175-F177-F178-F176-F179</f>
        <v>-9233425.3100000024</v>
      </c>
      <c r="G180" s="235"/>
    </row>
    <row r="181" spans="1:7">
      <c r="A181" s="200"/>
      <c r="C181" s="439"/>
      <c r="D181" s="439"/>
      <c r="G181" s="235"/>
    </row>
    <row r="182" spans="1:7">
      <c r="A182" s="200"/>
      <c r="C182" s="1304">
        <f>C137+C146+C155+C164+C172+C180</f>
        <v>-1502145061.0300002</v>
      </c>
      <c r="D182" s="1304">
        <v>-141117225.72999999</v>
      </c>
      <c r="F182" s="1304">
        <f>F137+F146+F155+F164+F172+F180</f>
        <v>-270707036791.02206</v>
      </c>
      <c r="G182" s="1305"/>
    </row>
    <row r="183" spans="1:7">
      <c r="A183" s="200"/>
      <c r="B183" s="196" t="s">
        <v>251</v>
      </c>
      <c r="C183" s="189"/>
      <c r="D183" s="189"/>
      <c r="G183" s="235"/>
    </row>
    <row r="184" spans="1:7">
      <c r="A184" s="200"/>
      <c r="B184" s="1258" t="s">
        <v>252</v>
      </c>
      <c r="C184" s="189"/>
      <c r="D184" s="189"/>
      <c r="G184" s="235"/>
    </row>
    <row r="185" spans="1:7">
      <c r="A185" s="200"/>
      <c r="B185" s="197" t="s">
        <v>253</v>
      </c>
      <c r="C185" s="189">
        <v>2991949377.7299995</v>
      </c>
      <c r="D185" s="189">
        <v>4085187840.79</v>
      </c>
      <c r="F185" s="189">
        <f>F61</f>
        <v>10385818678.349998</v>
      </c>
      <c r="G185" s="235"/>
    </row>
    <row r="186" spans="1:7">
      <c r="A186" s="200"/>
      <c r="B186" s="197" t="s">
        <v>254</v>
      </c>
      <c r="C186" s="189">
        <v>27439149.23</v>
      </c>
      <c r="D186" s="189">
        <v>27535902.049999993</v>
      </c>
      <c r="F186" s="189">
        <f>F62</f>
        <v>0</v>
      </c>
      <c r="G186" s="235"/>
    </row>
    <row r="187" spans="1:7">
      <c r="A187" s="200"/>
      <c r="B187" s="193" t="s">
        <v>229</v>
      </c>
      <c r="C187" s="189"/>
      <c r="D187" s="189"/>
      <c r="F187" s="189">
        <v>207112214.98550001</v>
      </c>
      <c r="G187" s="235"/>
    </row>
    <row r="188" spans="1:7">
      <c r="A188" s="200"/>
      <c r="B188" s="1277" t="s">
        <v>280</v>
      </c>
      <c r="C188" s="1301">
        <v>130792131.98999999</v>
      </c>
      <c r="D188" s="1301">
        <v>200686529.21000001</v>
      </c>
      <c r="F188" s="189">
        <f>F135</f>
        <v>0</v>
      </c>
      <c r="G188" s="235"/>
    </row>
    <row r="189" spans="1:7">
      <c r="A189" s="200"/>
      <c r="B189" s="1277" t="s">
        <v>281</v>
      </c>
      <c r="C189" s="1301">
        <v>74010792.290000007</v>
      </c>
      <c r="D189" s="1301">
        <v>0</v>
      </c>
      <c r="F189" s="189">
        <f>F136</f>
        <v>0</v>
      </c>
      <c r="G189" s="235"/>
    </row>
    <row r="190" spans="1:7">
      <c r="A190" s="200"/>
      <c r="B190" s="196"/>
      <c r="C190" s="436">
        <f>C185-C186-C188-C189</f>
        <v>2759707304.2199998</v>
      </c>
      <c r="D190" s="439">
        <v>3856965409.5299997</v>
      </c>
      <c r="F190" s="436">
        <f>F185-F186-F188-F189-F187</f>
        <v>10178706463.364498</v>
      </c>
      <c r="G190" s="235"/>
    </row>
    <row r="191" spans="1:7">
      <c r="A191" s="200"/>
      <c r="C191" s="189"/>
      <c r="D191" s="189"/>
      <c r="G191" s="235"/>
    </row>
    <row r="192" spans="1:7">
      <c r="A192" s="200"/>
      <c r="B192" s="1258" t="s">
        <v>255</v>
      </c>
      <c r="C192" s="189"/>
      <c r="D192" s="189"/>
      <c r="G192" s="235"/>
    </row>
    <row r="193" spans="1:7">
      <c r="A193" s="200"/>
      <c r="B193" s="1277" t="s">
        <v>253</v>
      </c>
      <c r="C193" s="189">
        <v>166687327.50000003</v>
      </c>
      <c r="D193" s="189">
        <v>280111500.69999999</v>
      </c>
      <c r="F193" s="189">
        <v>272463291.88000005</v>
      </c>
      <c r="G193" s="235"/>
    </row>
    <row r="194" spans="1:7">
      <c r="A194" s="200"/>
      <c r="B194" s="1277" t="s">
        <v>283</v>
      </c>
      <c r="C194" s="189">
        <v>57500</v>
      </c>
      <c r="D194" s="189">
        <v>57500</v>
      </c>
      <c r="F194" s="189">
        <v>0</v>
      </c>
      <c r="G194" s="235"/>
    </row>
    <row r="195" spans="1:7">
      <c r="A195" s="200"/>
      <c r="C195" s="436">
        <f>C193-C194</f>
        <v>166629827.50000003</v>
      </c>
      <c r="D195" s="439">
        <v>280054000.69999999</v>
      </c>
      <c r="F195" s="436">
        <f>F193-F194</f>
        <v>272463291.88000005</v>
      </c>
      <c r="G195" s="235"/>
    </row>
    <row r="196" spans="1:7">
      <c r="A196" s="200"/>
      <c r="C196" s="189"/>
      <c r="D196" s="189"/>
      <c r="G196" s="235"/>
    </row>
    <row r="197" spans="1:7">
      <c r="A197" s="200"/>
      <c r="B197" s="1258" t="s">
        <v>256</v>
      </c>
      <c r="C197" s="189"/>
      <c r="D197" s="189"/>
      <c r="G197" s="235"/>
    </row>
    <row r="198" spans="1:7">
      <c r="A198" s="200"/>
      <c r="B198" s="197" t="s">
        <v>257</v>
      </c>
      <c r="C198" s="189">
        <v>48905779.479999997</v>
      </c>
      <c r="D198" s="189">
        <v>35176067.170000002</v>
      </c>
      <c r="F198" s="189">
        <f>F69</f>
        <v>0</v>
      </c>
      <c r="G198" s="235"/>
    </row>
    <row r="199" spans="1:7">
      <c r="A199" s="200"/>
      <c r="B199" s="1288" t="s">
        <v>258</v>
      </c>
      <c r="C199" s="189">
        <v>3540212.65</v>
      </c>
      <c r="D199" s="189">
        <v>3540212.65</v>
      </c>
      <c r="F199" s="189">
        <f>F70</f>
        <v>0</v>
      </c>
      <c r="G199" s="235"/>
    </row>
    <row r="200" spans="1:7">
      <c r="A200" s="200"/>
      <c r="B200" s="193" t="s">
        <v>229</v>
      </c>
      <c r="C200" s="189"/>
      <c r="D200" s="189"/>
      <c r="F200" s="189">
        <v>0</v>
      </c>
      <c r="G200" s="235"/>
    </row>
    <row r="201" spans="1:7">
      <c r="A201" s="200"/>
      <c r="B201" s="1277" t="s">
        <v>280</v>
      </c>
      <c r="C201" s="1301">
        <v>24981322.710000001</v>
      </c>
      <c r="D201" s="1301">
        <v>21738457.449999999</v>
      </c>
      <c r="F201" s="189">
        <f>F170</f>
        <v>0</v>
      </c>
      <c r="G201" s="235"/>
    </row>
    <row r="202" spans="1:7">
      <c r="A202" s="200"/>
      <c r="B202" s="1277" t="s">
        <v>281</v>
      </c>
      <c r="C202" s="1301">
        <v>3558467.78</v>
      </c>
      <c r="D202" s="1301">
        <v>0</v>
      </c>
      <c r="F202" s="189">
        <f>F171</f>
        <v>0</v>
      </c>
      <c r="G202" s="235"/>
    </row>
    <row r="203" spans="1:7">
      <c r="A203" s="200"/>
      <c r="B203" s="197"/>
      <c r="C203" s="436">
        <f>C198-C199-C201-C202</f>
        <v>16825776.339999996</v>
      </c>
      <c r="D203" s="439">
        <v>9897397.070000004</v>
      </c>
      <c r="F203" s="436">
        <f>F198-F199-F201-F202-F200</f>
        <v>0</v>
      </c>
      <c r="G203" s="235"/>
    </row>
    <row r="204" spans="1:7">
      <c r="A204" s="200"/>
      <c r="B204" s="197"/>
      <c r="C204" s="189"/>
      <c r="D204" s="189"/>
      <c r="G204" s="235"/>
    </row>
    <row r="205" spans="1:7">
      <c r="A205" s="200"/>
      <c r="B205" s="1258" t="s">
        <v>230</v>
      </c>
      <c r="C205" s="189"/>
      <c r="D205" s="189"/>
      <c r="G205" s="1306"/>
    </row>
    <row r="206" spans="1:7">
      <c r="A206" s="200"/>
      <c r="B206" s="1288" t="s">
        <v>259</v>
      </c>
      <c r="C206" s="189">
        <v>29622886305.889996</v>
      </c>
      <c r="D206" s="189">
        <v>45195702907.280006</v>
      </c>
      <c r="F206" s="189">
        <f>F75</f>
        <v>13604796315.329998</v>
      </c>
      <c r="G206" s="1306"/>
    </row>
    <row r="207" spans="1:7">
      <c r="A207" s="200"/>
      <c r="B207" s="1288" t="s">
        <v>260</v>
      </c>
      <c r="C207" s="189">
        <v>6430195546.2000008</v>
      </c>
      <c r="D207" s="189">
        <v>9543244914.2400017</v>
      </c>
      <c r="F207" s="189">
        <f>F76</f>
        <v>648530295.07000005</v>
      </c>
      <c r="G207" s="1306"/>
    </row>
    <row r="208" spans="1:7">
      <c r="A208" s="200"/>
      <c r="B208" s="1288" t="s">
        <v>261</v>
      </c>
      <c r="C208" s="189">
        <v>12965981.180000002</v>
      </c>
      <c r="D208" s="189">
        <v>12023478.640000001</v>
      </c>
      <c r="F208" s="189">
        <f>F77</f>
        <v>45385342521.530014</v>
      </c>
      <c r="G208" s="1306"/>
    </row>
    <row r="209" spans="1:8">
      <c r="A209" s="200"/>
      <c r="B209" s="1288" t="s">
        <v>262</v>
      </c>
      <c r="C209" s="189">
        <v>40074113.68</v>
      </c>
      <c r="D209" s="189">
        <v>37785864.419999994</v>
      </c>
      <c r="F209" s="189">
        <f>F78</f>
        <v>0</v>
      </c>
      <c r="G209" s="1306"/>
    </row>
    <row r="210" spans="1:8">
      <c r="A210" s="200"/>
      <c r="B210" s="193" t="s">
        <v>229</v>
      </c>
      <c r="C210" s="189"/>
      <c r="D210" s="189"/>
      <c r="F210" s="189">
        <v>44736812226.460007</v>
      </c>
      <c r="G210" s="1306"/>
    </row>
    <row r="211" spans="1:8">
      <c r="A211" s="200"/>
      <c r="B211" s="1277" t="s">
        <v>280</v>
      </c>
      <c r="C211" s="1301">
        <v>258052423.78999996</v>
      </c>
      <c r="D211" s="1301">
        <v>300808772.26999992</v>
      </c>
      <c r="F211" s="189">
        <f>F144</f>
        <v>44892118492.526016</v>
      </c>
      <c r="G211" s="1306"/>
    </row>
    <row r="212" spans="1:8">
      <c r="A212" s="200"/>
      <c r="B212" s="1277" t="s">
        <v>281</v>
      </c>
      <c r="C212" s="1302">
        <v>581133348.16000021</v>
      </c>
      <c r="D212" s="1303">
        <v>0</v>
      </c>
      <c r="F212" s="189">
        <f>F145</f>
        <v>44892118492.526016</v>
      </c>
      <c r="G212" s="1306"/>
    </row>
    <row r="213" spans="1:8">
      <c r="A213" s="200"/>
      <c r="C213" s="436">
        <f>C206-C207-C208-C209-C211-C212</f>
        <v>22300464892.879993</v>
      </c>
      <c r="D213" s="439">
        <v>35301839877.710014</v>
      </c>
      <c r="F213" s="436">
        <f>F206-F207-F208-F209-F211-F212-F210</f>
        <v>-166950125712.78204</v>
      </c>
      <c r="G213" s="235"/>
    </row>
    <row r="214" spans="1:8">
      <c r="A214" s="200"/>
      <c r="C214" s="189"/>
      <c r="D214" s="189"/>
      <c r="G214" s="235"/>
    </row>
    <row r="215" spans="1:8">
      <c r="A215" s="200"/>
      <c r="B215" s="195" t="s">
        <v>235</v>
      </c>
      <c r="C215" s="189"/>
      <c r="D215" s="189"/>
      <c r="G215" s="235"/>
    </row>
    <row r="216" spans="1:8">
      <c r="A216" s="200"/>
      <c r="B216" s="1288" t="s">
        <v>263</v>
      </c>
      <c r="C216" s="189">
        <v>33500414904.480007</v>
      </c>
      <c r="D216" s="189">
        <v>41112420943.740013</v>
      </c>
      <c r="F216" s="189">
        <f>F83</f>
        <v>8323964581.7400007</v>
      </c>
      <c r="G216" s="235"/>
    </row>
    <row r="217" spans="1:8">
      <c r="A217" s="200"/>
      <c r="B217" s="1288" t="s">
        <v>264</v>
      </c>
      <c r="C217" s="189">
        <v>7681534818.0499992</v>
      </c>
      <c r="D217" s="189">
        <v>9017975598.8099995</v>
      </c>
      <c r="F217" s="189">
        <f>F84</f>
        <v>765482015.09000015</v>
      </c>
      <c r="G217" s="235"/>
    </row>
    <row r="218" spans="1:8">
      <c r="A218" s="200"/>
      <c r="B218" s="1288" t="s">
        <v>265</v>
      </c>
      <c r="C218" s="189">
        <v>35854598.030000009</v>
      </c>
      <c r="D218" s="189">
        <v>31118402.519999996</v>
      </c>
      <c r="F218" s="189">
        <f>F85</f>
        <v>0</v>
      </c>
      <c r="G218" s="235"/>
    </row>
    <row r="219" spans="1:8">
      <c r="A219" s="200"/>
      <c r="B219" s="1288" t="s">
        <v>262</v>
      </c>
      <c r="C219" s="189">
        <v>56237726.43</v>
      </c>
      <c r="D219" s="189">
        <v>62579936.930000015</v>
      </c>
      <c r="F219" s="189">
        <f>F86</f>
        <v>29335051611.689999</v>
      </c>
      <c r="G219" s="235"/>
    </row>
    <row r="220" spans="1:8">
      <c r="A220" s="200"/>
      <c r="B220" s="193" t="s">
        <v>229</v>
      </c>
      <c r="C220" s="189"/>
      <c r="D220" s="189"/>
      <c r="F220" s="189">
        <v>28569569596.599995</v>
      </c>
      <c r="G220" s="235"/>
    </row>
    <row r="221" spans="1:8">
      <c r="A221" s="200"/>
      <c r="B221" s="1277" t="s">
        <v>280</v>
      </c>
      <c r="C221" s="1301">
        <v>202422251.53999999</v>
      </c>
      <c r="D221" s="1301">
        <v>280170833.45000005</v>
      </c>
      <c r="F221" s="189">
        <f>F153</f>
        <v>28899844446.689999</v>
      </c>
      <c r="G221" s="235"/>
    </row>
    <row r="222" spans="1:8">
      <c r="A222" s="200"/>
      <c r="B222" s="1277" t="s">
        <v>281</v>
      </c>
      <c r="C222" s="1302">
        <v>847437099.07000005</v>
      </c>
      <c r="D222" s="1303">
        <v>0</v>
      </c>
      <c r="F222" s="189">
        <f>F154</f>
        <v>0</v>
      </c>
      <c r="G222" s="235"/>
      <c r="H222" s="1294"/>
    </row>
    <row r="223" spans="1:8">
      <c r="A223" s="200"/>
      <c r="C223" s="436">
        <f>C216-C217-C218-C219-C221-C222</f>
        <v>24676928411.360008</v>
      </c>
      <c r="D223" s="439">
        <v>31720576172.030014</v>
      </c>
      <c r="F223" s="436">
        <f>F216-F217-F218-F219-F221-F222-F220</f>
        <v>-79245983088.329987</v>
      </c>
      <c r="G223" s="235"/>
    </row>
    <row r="224" spans="1:8">
      <c r="A224" s="200"/>
      <c r="C224" s="189"/>
      <c r="D224" s="189"/>
      <c r="G224" s="235"/>
    </row>
    <row r="225" spans="1:7">
      <c r="A225" s="200"/>
      <c r="B225" s="195"/>
      <c r="C225" s="189"/>
      <c r="D225" s="189"/>
      <c r="G225" s="235"/>
    </row>
    <row r="226" spans="1:7">
      <c r="A226" s="200"/>
      <c r="C226" s="189"/>
      <c r="D226" s="189"/>
      <c r="G226" s="235"/>
    </row>
    <row r="227" spans="1:7">
      <c r="A227" s="200"/>
      <c r="B227" s="1258" t="s">
        <v>266</v>
      </c>
      <c r="C227" s="189"/>
      <c r="D227" s="189"/>
      <c r="G227" s="235"/>
    </row>
    <row r="228" spans="1:7">
      <c r="A228" s="200"/>
      <c r="B228" s="1288" t="s">
        <v>267</v>
      </c>
      <c r="C228" s="189">
        <v>208964447.16</v>
      </c>
      <c r="D228" s="189">
        <v>86819061.179999992</v>
      </c>
      <c r="F228" s="189">
        <f>F93</f>
        <v>467246516.69</v>
      </c>
      <c r="G228" s="235"/>
    </row>
    <row r="229" spans="1:7">
      <c r="A229" s="200"/>
      <c r="B229" s="1288" t="s">
        <v>268</v>
      </c>
      <c r="C229" s="189">
        <v>22658587.640000001</v>
      </c>
      <c r="D229" s="189">
        <v>8661131.7599999998</v>
      </c>
      <c r="F229" s="189">
        <f>F94</f>
        <v>0</v>
      </c>
      <c r="G229" s="235"/>
    </row>
    <row r="230" spans="1:7">
      <c r="A230" s="200"/>
      <c r="B230" s="1288" t="s">
        <v>269</v>
      </c>
      <c r="C230" s="189">
        <v>3624691.86</v>
      </c>
      <c r="D230" s="189">
        <v>30955.870000000003</v>
      </c>
      <c r="F230" s="189">
        <f>F95</f>
        <v>11982727.990000002</v>
      </c>
      <c r="G230" s="235"/>
    </row>
    <row r="231" spans="1:7">
      <c r="A231" s="200"/>
      <c r="B231" s="197" t="s">
        <v>262</v>
      </c>
      <c r="C231" s="189">
        <v>3145716.4</v>
      </c>
      <c r="D231" s="189">
        <v>1241508.69</v>
      </c>
      <c r="F231" s="189">
        <f>F96</f>
        <v>0</v>
      </c>
      <c r="G231" s="235"/>
    </row>
    <row r="232" spans="1:7">
      <c r="A232" s="200"/>
      <c r="B232" s="193" t="s">
        <v>229</v>
      </c>
      <c r="C232" s="189"/>
      <c r="D232" s="189"/>
      <c r="F232" s="189">
        <v>2096977763.2099998</v>
      </c>
      <c r="G232" s="235"/>
    </row>
    <row r="233" spans="1:7">
      <c r="A233" s="200"/>
      <c r="B233" s="1277" t="s">
        <v>280</v>
      </c>
      <c r="C233" s="1301">
        <v>10636211.27</v>
      </c>
      <c r="D233" s="1301">
        <v>6094025.7199999997</v>
      </c>
      <c r="F233" s="189">
        <f>F162</f>
        <v>33407768.550000012</v>
      </c>
      <c r="G233" s="235"/>
    </row>
    <row r="234" spans="1:7">
      <c r="A234" s="200"/>
      <c r="B234" s="1277" t="s">
        <v>281</v>
      </c>
      <c r="C234" s="1301">
        <v>20719254.199999999</v>
      </c>
      <c r="D234" s="1301">
        <v>0</v>
      </c>
      <c r="F234" s="189">
        <f>F163</f>
        <v>2118402803.7699997</v>
      </c>
      <c r="G234" s="235"/>
    </row>
    <row r="235" spans="1:7">
      <c r="A235" s="200"/>
      <c r="C235" s="436">
        <f>C228-C229-C230-C231-C233-C234</f>
        <v>148179985.78999996</v>
      </c>
      <c r="D235" s="439">
        <v>70791439.139999986</v>
      </c>
      <c r="F235" s="436">
        <f>F228-F229-F230-F231-F233-F234-F232</f>
        <v>-3793524546.8299999</v>
      </c>
      <c r="G235" s="235"/>
    </row>
    <row r="236" spans="1:7">
      <c r="A236" s="200"/>
      <c r="C236" s="189"/>
      <c r="D236" s="189"/>
      <c r="G236" s="235"/>
    </row>
    <row r="237" spans="1:7">
      <c r="A237" s="200"/>
      <c r="B237" s="195" t="s">
        <v>270</v>
      </c>
      <c r="C237" s="189"/>
      <c r="D237" s="189"/>
      <c r="G237" s="235"/>
    </row>
    <row r="238" spans="1:7">
      <c r="A238" s="200"/>
      <c r="B238" s="1288" t="s">
        <v>271</v>
      </c>
      <c r="C238" s="189">
        <v>18129746.649999999</v>
      </c>
      <c r="D238" s="189">
        <v>8556515.5800000001</v>
      </c>
      <c r="F238" s="189">
        <f>F101</f>
        <v>12706393.950000001</v>
      </c>
      <c r="G238" s="235"/>
    </row>
    <row r="239" spans="1:7">
      <c r="A239" s="200"/>
      <c r="B239" s="1288" t="s">
        <v>272</v>
      </c>
      <c r="C239" s="189">
        <v>1342305.3</v>
      </c>
      <c r="D239" s="189">
        <v>609407.73</v>
      </c>
      <c r="F239" s="189">
        <f>F102</f>
        <v>0</v>
      </c>
      <c r="G239" s="235"/>
    </row>
    <row r="240" spans="1:7">
      <c r="A240" s="200"/>
      <c r="B240" s="1288" t="s">
        <v>273</v>
      </c>
      <c r="C240" s="189">
        <v>114846.69</v>
      </c>
      <c r="D240" s="189">
        <v>80913.89</v>
      </c>
      <c r="F240" s="189">
        <f>F103</f>
        <v>0</v>
      </c>
      <c r="G240" s="235"/>
    </row>
    <row r="241" spans="1:7">
      <c r="A241" s="200"/>
      <c r="B241" s="1288" t="s">
        <v>244</v>
      </c>
      <c r="C241" s="189">
        <v>18072261.940000001</v>
      </c>
      <c r="D241" s="189">
        <v>8740954.2400000002</v>
      </c>
      <c r="F241" s="189">
        <f>F104</f>
        <v>0</v>
      </c>
      <c r="G241" s="235"/>
    </row>
    <row r="242" spans="1:7">
      <c r="A242" s="200"/>
      <c r="B242" s="193" t="s">
        <v>229</v>
      </c>
      <c r="C242" s="189"/>
      <c r="D242" s="189"/>
      <c r="G242" s="235"/>
    </row>
    <row r="243" spans="1:7">
      <c r="A243" s="200"/>
      <c r="B243" s="1277" t="s">
        <v>280</v>
      </c>
      <c r="C243" s="189"/>
      <c r="D243" s="189"/>
      <c r="G243" s="235"/>
    </row>
    <row r="244" spans="1:7">
      <c r="A244" s="200"/>
      <c r="B244" s="1277" t="s">
        <v>281</v>
      </c>
      <c r="C244" s="189"/>
      <c r="D244" s="189"/>
      <c r="G244" s="235"/>
    </row>
    <row r="245" spans="1:7">
      <c r="A245" s="200"/>
      <c r="C245" s="436">
        <f>C238-C239-C240-C241</f>
        <v>-1399667.2800000031</v>
      </c>
      <c r="D245" s="439">
        <v>-874760.28000000026</v>
      </c>
      <c r="F245" s="436">
        <f>F238-F239-F240-F241-F242</f>
        <v>12706393.950000001</v>
      </c>
      <c r="G245" s="235"/>
    </row>
    <row r="246" spans="1:7">
      <c r="A246" s="200"/>
      <c r="C246" s="189"/>
      <c r="D246" s="189"/>
      <c r="G246" s="235"/>
    </row>
    <row r="247" spans="1:7">
      <c r="A247" s="200"/>
      <c r="B247" s="195" t="s">
        <v>248</v>
      </c>
      <c r="C247" s="189"/>
      <c r="D247" s="189"/>
      <c r="G247" s="235"/>
    </row>
    <row r="248" spans="1:7">
      <c r="A248" s="200"/>
      <c r="B248" s="1288" t="s">
        <v>274</v>
      </c>
      <c r="C248" s="189">
        <v>264196503.49000001</v>
      </c>
      <c r="D248" s="189">
        <v>111998663.14</v>
      </c>
      <c r="F248" s="189">
        <f>F109</f>
        <v>541511320.30999994</v>
      </c>
      <c r="G248" s="235"/>
    </row>
    <row r="249" spans="1:7">
      <c r="A249" s="200"/>
      <c r="B249" s="1288" t="s">
        <v>275</v>
      </c>
      <c r="C249" s="189">
        <v>47401468.789999999</v>
      </c>
      <c r="D249" s="189">
        <v>15164181.49</v>
      </c>
      <c r="F249" s="189">
        <f>F110</f>
        <v>342435</v>
      </c>
      <c r="G249" s="235"/>
    </row>
    <row r="250" spans="1:7">
      <c r="A250" s="200"/>
      <c r="B250" s="193" t="s">
        <v>229</v>
      </c>
      <c r="C250" s="189"/>
      <c r="D250" s="189"/>
      <c r="F250" s="189">
        <v>0</v>
      </c>
      <c r="G250" s="235"/>
    </row>
    <row r="251" spans="1:7">
      <c r="A251" s="200"/>
      <c r="B251" s="193" t="s">
        <v>250</v>
      </c>
      <c r="C251" s="189"/>
      <c r="D251" s="189"/>
      <c r="F251" s="189">
        <f>F179</f>
        <v>22518825</v>
      </c>
      <c r="G251" s="235"/>
    </row>
    <row r="252" spans="1:7">
      <c r="A252" s="200"/>
      <c r="B252" s="1277" t="s">
        <v>280</v>
      </c>
      <c r="C252" s="1301">
        <v>23368000.870000001</v>
      </c>
      <c r="D252" s="1301">
        <v>14980203.810000001</v>
      </c>
      <c r="F252" s="189">
        <f>F177</f>
        <v>0</v>
      </c>
      <c r="G252" s="235"/>
    </row>
    <row r="253" spans="1:7">
      <c r="A253" s="200"/>
      <c r="B253" s="1277" t="s">
        <v>281</v>
      </c>
      <c r="C253" s="1301">
        <v>19949165.739999998</v>
      </c>
      <c r="D253" s="1301">
        <v>0</v>
      </c>
      <c r="F253" s="189">
        <f>F178</f>
        <v>0</v>
      </c>
      <c r="G253" s="235"/>
    </row>
    <row r="254" spans="1:7">
      <c r="A254" s="200"/>
      <c r="C254" s="436">
        <f>C248-C249-C252-C253</f>
        <v>173477868.09</v>
      </c>
      <c r="D254" s="439">
        <v>81854277.840000004</v>
      </c>
      <c r="F254" s="436">
        <f>F248-F249-F252-F253-F250-F251</f>
        <v>518650060.30999994</v>
      </c>
      <c r="G254" s="235"/>
    </row>
    <row r="255" spans="1:7">
      <c r="A255" s="200"/>
      <c r="B255" s="195"/>
      <c r="C255" s="189"/>
      <c r="D255" s="189"/>
      <c r="G255" s="235"/>
    </row>
    <row r="256" spans="1:7">
      <c r="A256" s="200"/>
      <c r="B256" s="195"/>
      <c r="C256" s="1304">
        <f>C190+C195+C203+C213+C223+C225+C235+C245+C254</f>
        <v>50240814398.900002</v>
      </c>
      <c r="D256" s="1304">
        <v>71321103813.740036</v>
      </c>
      <c r="F256" s="1304">
        <f>F190+F195+F203+F213+F223+F225+F235+F245+F254</f>
        <v>-239007107138.4375</v>
      </c>
      <c r="G256" s="1305"/>
    </row>
    <row r="257" spans="1:9">
      <c r="A257" s="200"/>
      <c r="B257" s="200"/>
      <c r="C257" s="200"/>
      <c r="D257" s="200"/>
      <c r="E257" s="200"/>
      <c r="F257" s="233"/>
      <c r="G257" s="216"/>
    </row>
    <row r="260" spans="1:9">
      <c r="B260" s="193"/>
      <c r="D260" s="193"/>
      <c r="E260" s="193"/>
      <c r="F260" s="199"/>
      <c r="G260" s="199"/>
      <c r="H260" s="199"/>
      <c r="I260" s="199"/>
    </row>
    <row r="261" spans="1:9">
      <c r="A261" s="200"/>
      <c r="B261" s="200"/>
      <c r="C261" s="201" t="s">
        <v>52</v>
      </c>
      <c r="D261" s="202" t="s">
        <v>218</v>
      </c>
      <c r="E261" s="200"/>
      <c r="F261" s="202" t="s">
        <v>219</v>
      </c>
      <c r="G261" s="202"/>
      <c r="H261" s="200"/>
      <c r="I261" s="202"/>
    </row>
    <row r="262" spans="1:9">
      <c r="A262" s="200"/>
      <c r="I262" s="200"/>
    </row>
    <row r="263" spans="1:9">
      <c r="A263" s="200"/>
      <c r="I263" s="207"/>
    </row>
    <row r="264" spans="1:9">
      <c r="A264" s="200"/>
      <c r="I264" s="209"/>
    </row>
    <row r="265" spans="1:9">
      <c r="A265" s="200"/>
      <c r="I265" s="212"/>
    </row>
    <row r="266" spans="1:9">
      <c r="A266" s="200"/>
      <c r="B266" s="213" t="s">
        <v>286</v>
      </c>
      <c r="C266" s="210"/>
      <c r="D266" s="211" t="e">
        <f>#REF!/9*12</f>
        <v>#REF!</v>
      </c>
      <c r="F266" s="211"/>
      <c r="G266" s="211"/>
      <c r="I266" s="212"/>
    </row>
    <row r="267" spans="1:9" hidden="1">
      <c r="A267" s="200"/>
      <c r="B267" s="204"/>
      <c r="C267" s="204"/>
      <c r="D267" s="206"/>
      <c r="F267" s="206"/>
      <c r="G267" s="206"/>
      <c r="I267" s="207"/>
    </row>
    <row r="268" spans="1:9" hidden="1">
      <c r="A268" s="200"/>
      <c r="B268" s="204" t="s">
        <v>287</v>
      </c>
      <c r="C268" s="204">
        <v>3541857894</v>
      </c>
      <c r="D268" s="206">
        <v>4424100771.6743908</v>
      </c>
      <c r="F268" s="206"/>
      <c r="G268" s="206"/>
      <c r="I268" s="207"/>
    </row>
    <row r="269" spans="1:9" hidden="1">
      <c r="A269" s="200"/>
      <c r="B269" s="204" t="s">
        <v>288</v>
      </c>
      <c r="C269" s="206">
        <v>43756350</v>
      </c>
      <c r="D269" s="206">
        <v>7662027.3099999996</v>
      </c>
      <c r="F269" s="206"/>
      <c r="G269" s="206"/>
      <c r="I269" s="207"/>
    </row>
    <row r="270" spans="1:9" hidden="1">
      <c r="A270" s="200"/>
      <c r="B270" s="204"/>
      <c r="C270" s="214">
        <f>SUM(C268:C269)</f>
        <v>3585614244</v>
      </c>
      <c r="D270" s="214">
        <f>SUM(D268:D269)</f>
        <v>4431762798.9843912</v>
      </c>
      <c r="F270" s="214"/>
      <c r="G270" s="206"/>
      <c r="I270" s="207"/>
    </row>
    <row r="271" spans="1:9" hidden="1">
      <c r="A271" s="200"/>
      <c r="B271" s="204"/>
      <c r="C271" s="204"/>
      <c r="D271" s="206"/>
      <c r="F271" s="206"/>
      <c r="G271" s="206"/>
      <c r="I271" s="207"/>
    </row>
    <row r="272" spans="1:9" hidden="1">
      <c r="A272" s="200"/>
      <c r="B272" s="204" t="s">
        <v>289</v>
      </c>
      <c r="C272" s="204">
        <v>3721487490</v>
      </c>
      <c r="D272" s="204">
        <v>4565901258</v>
      </c>
      <c r="F272" s="206"/>
      <c r="G272" s="206"/>
      <c r="I272" s="207"/>
    </row>
    <row r="273" spans="1:9" hidden="1">
      <c r="A273" s="200"/>
      <c r="B273" s="204" t="s">
        <v>290</v>
      </c>
      <c r="C273" s="204">
        <f>C270</f>
        <v>3585614244</v>
      </c>
      <c r="D273" s="204">
        <f>D270</f>
        <v>4431762798.9843912</v>
      </c>
      <c r="F273" s="206"/>
      <c r="G273" s="206"/>
      <c r="I273" s="207"/>
    </row>
    <row r="274" spans="1:9" hidden="1">
      <c r="A274" s="200"/>
      <c r="B274" s="204"/>
      <c r="C274" s="214">
        <f>SUM(C272:C273)</f>
        <v>7307101734</v>
      </c>
      <c r="D274" s="214">
        <f>SUM(D272:D273)</f>
        <v>8997664056.9843903</v>
      </c>
      <c r="F274" s="214"/>
      <c r="G274" s="206"/>
      <c r="I274" s="207"/>
    </row>
    <row r="275" spans="1:9">
      <c r="A275" s="200"/>
      <c r="B275" s="200"/>
      <c r="C275" s="215"/>
      <c r="D275" s="200"/>
      <c r="E275" s="200"/>
      <c r="F275" s="216"/>
      <c r="G275" s="216"/>
      <c r="H275" s="216"/>
      <c r="I275" s="216"/>
    </row>
    <row r="276" spans="1:9">
      <c r="A276" s="200"/>
      <c r="B276" s="203" t="s">
        <v>291</v>
      </c>
      <c r="C276" s="204"/>
      <c r="D276" s="193"/>
      <c r="E276" s="193"/>
      <c r="F276" s="199"/>
      <c r="G276" s="199"/>
      <c r="H276" s="199"/>
      <c r="I276" s="216"/>
    </row>
    <row r="277" spans="1:9">
      <c r="A277" s="200"/>
      <c r="B277" s="204" t="s">
        <v>289</v>
      </c>
      <c r="C277" s="217">
        <f>C272</f>
        <v>3721487490</v>
      </c>
      <c r="D277" s="217">
        <f>D272</f>
        <v>4565901258</v>
      </c>
      <c r="F277" s="217">
        <f>'P &amp; L (company)'!C25</f>
        <v>0</v>
      </c>
      <c r="G277" s="208"/>
      <c r="I277" s="209"/>
    </row>
    <row r="278" spans="1:9">
      <c r="A278" s="200"/>
      <c r="B278" s="204" t="s">
        <v>292</v>
      </c>
      <c r="C278" s="218">
        <f>C285</f>
        <v>43361104451</v>
      </c>
      <c r="D278" s="218">
        <f>D285</f>
        <v>67348668255</v>
      </c>
      <c r="F278" s="208">
        <f>F285</f>
        <v>105020949172</v>
      </c>
      <c r="G278" s="208"/>
      <c r="I278" s="209"/>
    </row>
    <row r="279" spans="1:9">
      <c r="A279" s="200"/>
      <c r="B279" s="204"/>
      <c r="C279" s="219">
        <f>C277/C278</f>
        <v>8.5825477397732067E-2</v>
      </c>
      <c r="D279" s="220">
        <f>D277/D278</f>
        <v>6.7794974663972288E-2</v>
      </c>
      <c r="F279" s="220">
        <f>F277/F278</f>
        <v>0</v>
      </c>
      <c r="G279" s="221"/>
      <c r="I279" s="200"/>
    </row>
    <row r="280" spans="1:9">
      <c r="A280" s="200"/>
      <c r="B280" s="213" t="s">
        <v>286</v>
      </c>
      <c r="C280" s="219"/>
      <c r="D280" s="221">
        <f>D279/9*12</f>
        <v>9.0393299551963055E-2</v>
      </c>
      <c r="F280" s="221">
        <f>F279/3*12</f>
        <v>0</v>
      </c>
      <c r="G280" s="221"/>
      <c r="I280" s="222"/>
    </row>
    <row r="281" spans="1:9">
      <c r="A281" s="200"/>
      <c r="B281" s="193"/>
      <c r="C281" s="193"/>
      <c r="D281" s="193"/>
      <c r="F281" s="199"/>
      <c r="G281" s="199"/>
      <c r="I281" s="216"/>
    </row>
    <row r="282" spans="1:9">
      <c r="A282" s="200"/>
      <c r="B282" s="204" t="s">
        <v>315</v>
      </c>
      <c r="C282" s="204">
        <v>55874220228</v>
      </c>
      <c r="D282" s="204">
        <v>55874220228</v>
      </c>
      <c r="F282" s="206">
        <f>'BS (3)'!E25</f>
        <v>100010183458</v>
      </c>
      <c r="G282" s="206"/>
      <c r="I282" s="207"/>
    </row>
    <row r="283" spans="1:9">
      <c r="A283" s="200"/>
      <c r="B283" s="204" t="s">
        <v>316</v>
      </c>
      <c r="C283" s="205">
        <v>30847988674</v>
      </c>
      <c r="D283" s="205">
        <f>78848235091-25118809</f>
        <v>78823116282</v>
      </c>
      <c r="F283" s="205">
        <f>'BS (3)'!C25</f>
        <v>110031714886</v>
      </c>
      <c r="G283" s="206"/>
      <c r="I283" s="207"/>
    </row>
    <row r="284" spans="1:9">
      <c r="A284" s="200"/>
      <c r="B284" s="204"/>
      <c r="C284" s="204">
        <f>SUM(C282:C283)</f>
        <v>86722208902</v>
      </c>
      <c r="D284" s="204">
        <f>SUM(D282:D283)</f>
        <v>134697336510</v>
      </c>
      <c r="F284" s="206">
        <f>SUM(F282:F283)</f>
        <v>210041898344</v>
      </c>
      <c r="G284" s="206"/>
      <c r="I284" s="207"/>
    </row>
    <row r="285" spans="1:9">
      <c r="A285" s="200"/>
      <c r="B285" s="193" t="s">
        <v>293</v>
      </c>
      <c r="C285" s="204">
        <f>C284/2</f>
        <v>43361104451</v>
      </c>
      <c r="D285" s="204">
        <f>D284/2</f>
        <v>67348668255</v>
      </c>
      <c r="F285" s="206">
        <f>F284/2</f>
        <v>105020949172</v>
      </c>
      <c r="G285" s="206"/>
      <c r="I285" s="207"/>
    </row>
    <row r="286" spans="1:9">
      <c r="A286" s="200"/>
      <c r="B286" s="200"/>
      <c r="C286" s="215"/>
      <c r="D286" s="200"/>
      <c r="E286" s="200"/>
      <c r="F286" s="216"/>
      <c r="G286" s="216"/>
      <c r="H286" s="216"/>
      <c r="I286" s="216"/>
    </row>
    <row r="287" spans="1:9">
      <c r="A287" s="200"/>
      <c r="B287" s="203" t="s">
        <v>294</v>
      </c>
      <c r="C287" s="204"/>
      <c r="D287" s="193"/>
      <c r="E287" s="193"/>
      <c r="F287" s="199"/>
      <c r="G287" s="199"/>
      <c r="H287" s="199"/>
      <c r="I287" s="216"/>
    </row>
    <row r="288" spans="1:9">
      <c r="A288" s="200"/>
      <c r="B288" s="204" t="s">
        <v>246</v>
      </c>
      <c r="C288" s="218">
        <f>C295</f>
        <v>2396809680</v>
      </c>
      <c r="D288" s="218">
        <f>D295</f>
        <v>3011512640.666667</v>
      </c>
      <c r="F288" s="208">
        <f>'P &amp; L (company)'!C28</f>
        <v>0</v>
      </c>
      <c r="G288" s="208"/>
      <c r="I288" s="209"/>
    </row>
    <row r="289" spans="1:9">
      <c r="A289" s="200"/>
      <c r="B289" s="204" t="s">
        <v>295</v>
      </c>
      <c r="C289" s="204">
        <f>C304</f>
        <v>6235680013</v>
      </c>
      <c r="D289" s="204">
        <f>D304</f>
        <v>11896835165</v>
      </c>
      <c r="F289" s="206" t="e">
        <f>F299</f>
        <v>#REF!</v>
      </c>
      <c r="G289" s="206"/>
      <c r="I289" s="207"/>
    </row>
    <row r="290" spans="1:9">
      <c r="A290" s="200"/>
      <c r="B290" s="204"/>
      <c r="C290" s="219">
        <f>C288/C289</f>
        <v>0.38437021704179614</v>
      </c>
      <c r="D290" s="220">
        <f>D288/D289</f>
        <v>0.25313561118560451</v>
      </c>
      <c r="F290" s="223" t="e">
        <f>F288/F289</f>
        <v>#REF!</v>
      </c>
      <c r="G290" s="223"/>
      <c r="I290" s="222"/>
    </row>
    <row r="291" spans="1:9">
      <c r="A291" s="200"/>
      <c r="B291" s="213" t="s">
        <v>286</v>
      </c>
      <c r="C291" s="219"/>
      <c r="D291" s="219">
        <f>D290/9*12</f>
        <v>0.33751414824747267</v>
      </c>
      <c r="F291" s="221" t="e">
        <f>F290/3*12</f>
        <v>#REF!</v>
      </c>
      <c r="G291" s="223"/>
      <c r="I291" s="222"/>
    </row>
    <row r="292" spans="1:9">
      <c r="A292" s="200"/>
      <c r="B292" s="204"/>
      <c r="C292" s="220"/>
      <c r="D292" s="223"/>
      <c r="F292" s="223"/>
      <c r="G292" s="223"/>
      <c r="I292" s="224"/>
    </row>
    <row r="293" spans="1:9">
      <c r="A293" s="200"/>
      <c r="B293" s="204" t="s">
        <v>246</v>
      </c>
      <c r="C293" s="218">
        <v>2579809680</v>
      </c>
      <c r="D293" s="208">
        <v>3139220974</v>
      </c>
      <c r="F293" s="208" t="e">
        <f>#REF!</f>
        <v>#REF!</v>
      </c>
      <c r="G293" s="208"/>
      <c r="I293" s="209"/>
    </row>
    <row r="294" spans="1:9">
      <c r="A294" s="200"/>
      <c r="B294" s="204" t="s">
        <v>296</v>
      </c>
      <c r="C294" s="204">
        <v>-183000000</v>
      </c>
      <c r="D294" s="204">
        <v>-127708333.333333</v>
      </c>
      <c r="F294" s="225"/>
      <c r="G294" s="206"/>
      <c r="I294" s="207"/>
    </row>
    <row r="295" spans="1:9">
      <c r="A295" s="200"/>
      <c r="B295" s="204"/>
      <c r="C295" s="226">
        <f>SUM(C293:C294)</f>
        <v>2396809680</v>
      </c>
      <c r="D295" s="226">
        <f>SUM(D293:D294)</f>
        <v>3011512640.666667</v>
      </c>
      <c r="F295" s="226" t="e">
        <f>SUM(F293:F294)</f>
        <v>#REF!</v>
      </c>
      <c r="G295" s="208"/>
      <c r="I295" s="209"/>
    </row>
    <row r="296" spans="1:9">
      <c r="A296" s="200"/>
      <c r="B296" s="193"/>
      <c r="C296" s="193"/>
      <c r="D296" s="193"/>
      <c r="F296" s="193"/>
      <c r="G296" s="193"/>
      <c r="I296" s="200"/>
    </row>
    <row r="297" spans="1:9">
      <c r="A297" s="200"/>
      <c r="B297" s="204" t="s">
        <v>297</v>
      </c>
      <c r="C297" s="206">
        <v>6229393330</v>
      </c>
      <c r="D297" s="206">
        <v>17351703634</v>
      </c>
      <c r="F297" s="189" t="e">
        <f>'BS (3)'!#REF!</f>
        <v>#REF!</v>
      </c>
      <c r="G297" s="206"/>
      <c r="I297" s="207"/>
    </row>
    <row r="298" spans="1:9">
      <c r="A298" s="200"/>
      <c r="B298" s="204" t="s">
        <v>298</v>
      </c>
      <c r="C298" s="206">
        <v>-1150000000</v>
      </c>
      <c r="D298" s="206">
        <v>-950000000</v>
      </c>
      <c r="F298" s="1295" t="e">
        <f>'BS (3)'!#REF!</f>
        <v>#REF!</v>
      </c>
      <c r="G298" s="206"/>
      <c r="I298" s="207"/>
    </row>
    <row r="299" spans="1:9">
      <c r="A299" s="200"/>
      <c r="B299" s="204"/>
      <c r="C299" s="214">
        <f>SUM(C297:C298)</f>
        <v>5079393330</v>
      </c>
      <c r="D299" s="214">
        <f>SUM(D297:D298)</f>
        <v>16401703634</v>
      </c>
      <c r="F299" s="436" t="e">
        <f>AVERAGE(F297:F298)</f>
        <v>#REF!</v>
      </c>
      <c r="G299" s="206"/>
      <c r="I299" s="207"/>
    </row>
    <row r="300" spans="1:9">
      <c r="A300" s="200"/>
      <c r="B300" s="204"/>
      <c r="D300" s="204"/>
      <c r="F300" s="204"/>
      <c r="G300" s="204"/>
      <c r="I300" s="215"/>
    </row>
    <row r="301" spans="1:9">
      <c r="A301" s="200"/>
      <c r="C301" s="206">
        <v>8441966696</v>
      </c>
      <c r="D301" s="206">
        <v>8441966696</v>
      </c>
      <c r="F301" s="204"/>
      <c r="G301" s="204"/>
      <c r="H301" s="204"/>
      <c r="I301" s="215"/>
    </row>
    <row r="302" spans="1:9">
      <c r="A302" s="200"/>
      <c r="B302" s="204"/>
      <c r="C302" s="206">
        <v>-1050000000</v>
      </c>
      <c r="D302" s="206">
        <v>-1050000000</v>
      </c>
      <c r="F302" s="227"/>
      <c r="G302" s="204"/>
      <c r="H302" s="204"/>
      <c r="I302" s="215"/>
    </row>
    <row r="303" spans="1:9">
      <c r="A303" s="200"/>
      <c r="B303" s="204"/>
      <c r="C303" s="214">
        <f>SUM(C301:C302)</f>
        <v>7391966696</v>
      </c>
      <c r="D303" s="214">
        <f>SUM(D301:D302)</f>
        <v>7391966696</v>
      </c>
      <c r="F303" s="214"/>
      <c r="G303" s="204"/>
      <c r="H303" s="204"/>
      <c r="I303" s="215"/>
    </row>
    <row r="304" spans="1:9">
      <c r="A304" s="200"/>
      <c r="B304" s="193"/>
      <c r="C304" s="204">
        <f>(C303+C299)/2</f>
        <v>6235680013</v>
      </c>
      <c r="D304" s="204">
        <f>(D303+D299)/2</f>
        <v>11896835165</v>
      </c>
      <c r="E304" s="193"/>
      <c r="F304" s="204"/>
      <c r="G304" s="193"/>
      <c r="H304" s="193"/>
      <c r="I304" s="200"/>
    </row>
    <row r="305" spans="1:9">
      <c r="A305" s="200"/>
      <c r="B305" s="200"/>
      <c r="C305" s="215"/>
      <c r="D305" s="200"/>
      <c r="E305" s="200"/>
      <c r="F305" s="200"/>
      <c r="G305" s="200"/>
      <c r="H305" s="200"/>
      <c r="I305" s="200"/>
    </row>
    <row r="306" spans="1:9">
      <c r="A306" s="200"/>
      <c r="B306" s="228" t="s">
        <v>299</v>
      </c>
      <c r="C306" s="204"/>
      <c r="D306" s="193"/>
      <c r="E306" s="193"/>
      <c r="F306" s="193"/>
      <c r="G306" s="193"/>
      <c r="H306" s="193"/>
      <c r="I306" s="200"/>
    </row>
    <row r="307" spans="1:9">
      <c r="A307" s="200"/>
      <c r="B307" s="228" t="s">
        <v>300</v>
      </c>
      <c r="C307" s="204"/>
      <c r="D307" s="193"/>
      <c r="E307" s="193"/>
      <c r="F307" s="193"/>
      <c r="G307" s="193"/>
      <c r="H307" s="193"/>
      <c r="I307" s="200"/>
    </row>
    <row r="308" spans="1:9">
      <c r="A308" s="200"/>
      <c r="B308" s="240" t="str">
        <f>'BS (3)'!A28</f>
        <v>Due to banks</v>
      </c>
      <c r="C308" s="229">
        <v>15591</v>
      </c>
      <c r="D308" s="229">
        <v>2506913625</v>
      </c>
      <c r="F308" s="189">
        <f>'BS (3)'!C28</f>
        <v>13287546445</v>
      </c>
      <c r="G308" s="193"/>
      <c r="H308" s="193" t="s">
        <v>301</v>
      </c>
      <c r="I308" s="200"/>
    </row>
    <row r="309" spans="1:9">
      <c r="A309" s="200"/>
      <c r="B309" s="240" t="str">
        <f>'BS (3)'!A29</f>
        <v>Due to customers</v>
      </c>
      <c r="C309" s="230">
        <v>24364</v>
      </c>
      <c r="D309" s="229">
        <v>29854561127</v>
      </c>
      <c r="F309" s="189">
        <f>'BS (3)'!C29</f>
        <v>39921527357</v>
      </c>
      <c r="G309" s="193"/>
      <c r="H309" s="193" t="s">
        <v>303</v>
      </c>
      <c r="I309" s="200"/>
    </row>
    <row r="310" spans="1:9">
      <c r="A310" s="200"/>
      <c r="B310" s="240" t="str">
        <f>'BS (3)'!A30</f>
        <v>Debt Securities issued</v>
      </c>
      <c r="C310" s="229">
        <f>SUM(C308:C309)</f>
        <v>39955</v>
      </c>
      <c r="D310" s="229">
        <v>21980771171</v>
      </c>
      <c r="F310" s="189">
        <f>'BS (3)'!C30</f>
        <v>29513626792</v>
      </c>
      <c r="G310" s="193"/>
      <c r="H310" s="193" t="s">
        <v>302</v>
      </c>
      <c r="I310" s="200"/>
    </row>
    <row r="311" spans="1:9">
      <c r="A311" s="200"/>
      <c r="B311" s="240" t="str">
        <f>'BS (3)'!A31</f>
        <v xml:space="preserve">Other  Financial liabilities </v>
      </c>
      <c r="C311" s="229">
        <v>1050</v>
      </c>
      <c r="D311" s="229">
        <v>25118809</v>
      </c>
      <c r="F311" s="189">
        <f>'BS (3)'!C31</f>
        <v>4655712282</v>
      </c>
      <c r="G311" s="193"/>
      <c r="H311" s="193" t="s">
        <v>304</v>
      </c>
      <c r="I311" s="200"/>
    </row>
    <row r="312" spans="1:9">
      <c r="A312" s="200"/>
      <c r="B312" s="241"/>
      <c r="C312" s="229"/>
      <c r="D312" s="229"/>
      <c r="F312" s="436">
        <f>SUM(F308:F311)</f>
        <v>87378412876</v>
      </c>
      <c r="G312" s="193"/>
      <c r="H312" s="193"/>
      <c r="I312" s="200"/>
    </row>
    <row r="313" spans="1:9">
      <c r="A313" s="200"/>
      <c r="B313" s="241" t="s">
        <v>377</v>
      </c>
      <c r="C313" s="229"/>
      <c r="D313" s="229"/>
      <c r="F313" s="1308">
        <v>40802660828</v>
      </c>
      <c r="G313" s="193"/>
      <c r="H313" s="193"/>
      <c r="I313" s="200"/>
    </row>
    <row r="314" spans="1:9">
      <c r="A314" s="200"/>
      <c r="B314" s="241"/>
      <c r="C314" s="229"/>
      <c r="D314" s="229"/>
      <c r="F314" s="234">
        <f>F312-F313</f>
        <v>46575752048</v>
      </c>
      <c r="G314" s="193"/>
      <c r="H314" s="193"/>
      <c r="I314" s="200"/>
    </row>
    <row r="315" spans="1:9">
      <c r="A315" s="200"/>
      <c r="B315" s="241"/>
      <c r="C315" s="229"/>
      <c r="D315" s="229"/>
      <c r="G315" s="193"/>
      <c r="H315" s="193"/>
      <c r="I315" s="200"/>
    </row>
    <row r="316" spans="1:9">
      <c r="A316" s="200"/>
      <c r="B316" s="241"/>
      <c r="C316" s="229"/>
      <c r="D316" s="229"/>
      <c r="G316" s="193"/>
      <c r="H316" s="193"/>
      <c r="I316" s="200"/>
    </row>
    <row r="317" spans="1:9">
      <c r="A317" s="200"/>
      <c r="B317" s="193" t="s">
        <v>305</v>
      </c>
      <c r="C317" s="229">
        <v>500</v>
      </c>
      <c r="D317" s="206">
        <f>D297</f>
        <v>17351703634</v>
      </c>
      <c r="F317" s="189">
        <f>'BS (3)'!C44</f>
        <v>20244706157</v>
      </c>
      <c r="G317" s="193"/>
      <c r="H317" s="193" t="s">
        <v>306</v>
      </c>
      <c r="I317" s="200"/>
    </row>
    <row r="318" spans="1:9">
      <c r="A318" s="200"/>
      <c r="B318" s="193"/>
      <c r="C318" s="229"/>
      <c r="D318" s="206"/>
      <c r="F318" s="229"/>
      <c r="G318" s="193"/>
      <c r="I318" s="200"/>
    </row>
    <row r="319" spans="1:9">
      <c r="A319" s="200"/>
      <c r="B319" s="193"/>
      <c r="C319" s="230"/>
      <c r="D319" s="231"/>
      <c r="F319" s="1309">
        <f>F314/F317</f>
        <v>2.3006385811085499</v>
      </c>
      <c r="G319" s="193"/>
      <c r="H319" s="1309">
        <f>F312/F317</f>
        <v>4.3161116885752975</v>
      </c>
      <c r="I319" s="200"/>
    </row>
    <row r="320" spans="1:9">
      <c r="A320" s="200"/>
      <c r="B320" s="193"/>
      <c r="C320" s="229"/>
      <c r="D320" s="229"/>
      <c r="G320" s="193"/>
      <c r="H320" s="193"/>
      <c r="I320" s="200"/>
    </row>
    <row r="321" spans="1:9">
      <c r="A321" s="200"/>
      <c r="B321" s="193"/>
      <c r="C321" s="229"/>
      <c r="D321" s="229"/>
      <c r="G321" s="193"/>
      <c r="H321" s="193"/>
      <c r="I321" s="200"/>
    </row>
    <row r="322" spans="1:9">
      <c r="A322" s="200"/>
      <c r="B322" s="193"/>
      <c r="C322" s="231"/>
      <c r="D322" s="229"/>
      <c r="G322" s="193"/>
      <c r="H322" s="193"/>
      <c r="I322" s="200"/>
    </row>
    <row r="323" spans="1:9">
      <c r="A323" s="200"/>
      <c r="B323" s="193"/>
      <c r="C323" s="229"/>
      <c r="D323" s="229"/>
      <c r="G323" s="193"/>
      <c r="H323" s="193"/>
      <c r="I323" s="200"/>
    </row>
    <row r="324" spans="1:9">
      <c r="A324" s="200"/>
      <c r="B324" s="193"/>
      <c r="C324" s="232"/>
      <c r="D324" s="232"/>
      <c r="F324" s="232"/>
      <c r="G324" s="193"/>
      <c r="H324" s="193"/>
      <c r="I324" s="200"/>
    </row>
    <row r="325" spans="1:9">
      <c r="A325" s="200"/>
      <c r="B325" s="193"/>
      <c r="C325" s="204"/>
      <c r="D325" s="193"/>
      <c r="E325" s="193"/>
      <c r="F325" s="193"/>
      <c r="G325" s="193"/>
      <c r="H325" s="193"/>
      <c r="I325" s="200"/>
    </row>
    <row r="326" spans="1:9">
      <c r="A326" s="200"/>
      <c r="B326" s="200"/>
      <c r="C326" s="215"/>
      <c r="D326" s="200"/>
      <c r="E326" s="200"/>
      <c r="F326" s="200"/>
      <c r="G326" s="200"/>
      <c r="H326" s="200"/>
      <c r="I326" s="200"/>
    </row>
    <row r="327" spans="1:9">
      <c r="A327" s="200"/>
      <c r="B327" s="228" t="s">
        <v>55</v>
      </c>
      <c r="F327" s="229"/>
      <c r="G327" s="193"/>
      <c r="I327" s="200"/>
    </row>
    <row r="328" spans="1:9">
      <c r="A328" s="200"/>
      <c r="B328" s="205" t="s">
        <v>307</v>
      </c>
      <c r="C328" s="230">
        <f>86574236+4721594000</f>
        <v>4808168236</v>
      </c>
      <c r="D328" s="229">
        <f>4394487628+36191411</f>
        <v>4430679039</v>
      </c>
      <c r="F328" s="229">
        <f>'P &amp; L (company)'!C9</f>
        <v>0</v>
      </c>
      <c r="G328" s="193"/>
      <c r="I328" s="200"/>
    </row>
    <row r="329" spans="1:9">
      <c r="A329" s="200"/>
      <c r="B329" s="204" t="s">
        <v>308</v>
      </c>
      <c r="C329" s="229">
        <f>C344</f>
        <v>39148317940</v>
      </c>
      <c r="D329" s="229">
        <f>D344</f>
        <v>60993765926.5</v>
      </c>
      <c r="F329" s="229" t="e">
        <f>F344</f>
        <v>#REF!</v>
      </c>
      <c r="G329" s="193"/>
      <c r="I329" s="200"/>
    </row>
    <row r="330" spans="1:9">
      <c r="A330" s="200"/>
      <c r="B330" s="204"/>
      <c r="C330" s="229"/>
      <c r="D330" s="220">
        <f>D328/D329</f>
        <v>7.2641506417871468E-2</v>
      </c>
      <c r="F330" s="220" t="e">
        <f>F328/F329</f>
        <v>#REF!</v>
      </c>
      <c r="G330" s="193"/>
      <c r="I330" s="200"/>
    </row>
    <row r="331" spans="1:9">
      <c r="A331" s="200"/>
      <c r="B331" s="213" t="s">
        <v>286</v>
      </c>
      <c r="C331" s="219">
        <f>C328/C329</f>
        <v>0.12281928034223991</v>
      </c>
      <c r="D331" s="219">
        <f>D330/9*12</f>
        <v>9.68553418904953E-2</v>
      </c>
      <c r="F331" s="219" t="e">
        <f>F330/3*12</f>
        <v>#REF!</v>
      </c>
      <c r="G331" s="193"/>
      <c r="I331" s="200"/>
    </row>
    <row r="332" spans="1:9">
      <c r="A332" s="200"/>
      <c r="B332" s="204"/>
      <c r="C332" s="193"/>
      <c r="D332" s="193"/>
      <c r="G332" s="229"/>
      <c r="I332" s="233"/>
    </row>
    <row r="333" spans="1:9">
      <c r="A333" s="1310" t="s">
        <v>309</v>
      </c>
      <c r="B333" s="197" t="s">
        <v>310</v>
      </c>
      <c r="C333" s="229">
        <v>69259093</v>
      </c>
      <c r="D333" s="229">
        <v>69259093</v>
      </c>
      <c r="F333" s="229">
        <f>'BS (3)'!E10</f>
        <v>598392048</v>
      </c>
      <c r="G333" s="229"/>
      <c r="I333" s="233"/>
    </row>
    <row r="334" spans="1:9">
      <c r="A334" s="200"/>
      <c r="B334" s="204" t="s">
        <v>311</v>
      </c>
      <c r="C334" s="229">
        <v>2942796483</v>
      </c>
      <c r="D334" s="229">
        <v>2942796483</v>
      </c>
      <c r="F334" s="229">
        <f>'BS (3)'!E13</f>
        <v>47669793811</v>
      </c>
      <c r="G334" s="229"/>
      <c r="I334" s="233"/>
    </row>
    <row r="335" spans="1:9">
      <c r="A335" s="200"/>
      <c r="B335" s="204" t="s">
        <v>312</v>
      </c>
      <c r="C335" s="229">
        <v>46442179818</v>
      </c>
      <c r="D335" s="229">
        <v>46442179818</v>
      </c>
      <c r="F335" s="229"/>
      <c r="G335" s="229"/>
      <c r="I335" s="233"/>
    </row>
    <row r="336" spans="1:9">
      <c r="A336" s="200"/>
      <c r="B336" s="204" t="s">
        <v>313</v>
      </c>
      <c r="C336" s="229">
        <v>664119302</v>
      </c>
      <c r="D336" s="229">
        <v>664119302</v>
      </c>
      <c r="F336" s="229" t="e">
        <f>'BS (3)'!#REF!</f>
        <v>#REF!</v>
      </c>
      <c r="G336" s="234"/>
      <c r="I336" s="235"/>
    </row>
    <row r="337" spans="1:9">
      <c r="A337" s="200"/>
      <c r="B337" s="204"/>
      <c r="C337" s="231">
        <f>SUM(C333:C336)</f>
        <v>50118354696</v>
      </c>
      <c r="D337" s="231">
        <f>SUM(D333:D336)</f>
        <v>50118354696</v>
      </c>
      <c r="F337" s="231" t="e">
        <f>SUM(F333:F336)</f>
        <v>#REF!</v>
      </c>
      <c r="G337" s="229"/>
      <c r="I337" s="233"/>
    </row>
    <row r="338" spans="1:9">
      <c r="A338" s="200"/>
      <c r="B338" s="204"/>
      <c r="C338" s="229"/>
      <c r="E338" s="229"/>
      <c r="F338" s="1277"/>
      <c r="G338" s="229"/>
      <c r="H338" s="229"/>
      <c r="I338" s="233"/>
    </row>
    <row r="339" spans="1:9">
      <c r="A339" s="1310" t="s">
        <v>314</v>
      </c>
      <c r="B339" s="197" t="s">
        <v>310</v>
      </c>
      <c r="C339" s="229">
        <v>373388919</v>
      </c>
      <c r="D339" s="229">
        <v>966976317</v>
      </c>
      <c r="E339" s="229"/>
      <c r="F339" s="189">
        <f>'BS (3)'!C10</f>
        <v>316970235</v>
      </c>
      <c r="G339" s="229"/>
      <c r="H339" s="229"/>
      <c r="I339" s="233"/>
    </row>
    <row r="340" spans="1:9">
      <c r="A340" s="200"/>
      <c r="B340" s="204" t="s">
        <v>311</v>
      </c>
      <c r="C340" s="229">
        <v>1710699331</v>
      </c>
      <c r="D340" s="229">
        <v>4145143740</v>
      </c>
      <c r="E340" s="229"/>
      <c r="F340" s="189">
        <f>'BS (3)'!C13</f>
        <v>46920994906</v>
      </c>
      <c r="G340" s="229"/>
      <c r="H340" s="229"/>
      <c r="I340" s="233"/>
    </row>
    <row r="341" spans="1:9">
      <c r="A341" s="200"/>
      <c r="B341" s="204" t="s">
        <v>312</v>
      </c>
      <c r="C341" s="229">
        <v>25006120541</v>
      </c>
      <c r="D341" s="229">
        <v>66410236060</v>
      </c>
      <c r="E341" s="229"/>
      <c r="G341" s="229"/>
      <c r="H341" s="229"/>
      <c r="I341" s="233"/>
    </row>
    <row r="342" spans="1:9">
      <c r="A342" s="200"/>
      <c r="B342" s="204" t="s">
        <v>313</v>
      </c>
      <c r="C342" s="229">
        <v>1088072393</v>
      </c>
      <c r="D342" s="229">
        <v>346821040</v>
      </c>
      <c r="E342" s="229"/>
      <c r="F342" s="189" t="e">
        <f>'BS (3)'!#REF!</f>
        <v>#REF!</v>
      </c>
      <c r="G342" s="229"/>
      <c r="H342" s="229"/>
      <c r="I342" s="233"/>
    </row>
    <row r="343" spans="1:9">
      <c r="A343" s="200"/>
      <c r="B343" s="204"/>
      <c r="C343" s="231">
        <f>SUM(C339:C342)</f>
        <v>28178281184</v>
      </c>
      <c r="D343" s="231">
        <f>SUM(D339:D342)</f>
        <v>71869177157</v>
      </c>
      <c r="E343" s="229"/>
      <c r="F343" s="231" t="e">
        <f>SUM(F339:F342)</f>
        <v>#REF!</v>
      </c>
      <c r="G343" s="229"/>
      <c r="H343" s="229"/>
      <c r="I343" s="233"/>
    </row>
    <row r="344" spans="1:9">
      <c r="A344" s="200"/>
      <c r="B344" s="204"/>
      <c r="C344" s="234">
        <f>(C337+C343)/2</f>
        <v>39148317940</v>
      </c>
      <c r="D344" s="229">
        <f>(D343+C337)/2</f>
        <v>60993765926.5</v>
      </c>
      <c r="E344" s="229"/>
      <c r="F344" s="234" t="e">
        <f>(F337+F343)/2</f>
        <v>#REF!</v>
      </c>
      <c r="G344" s="229"/>
      <c r="H344" s="229"/>
      <c r="I344" s="233"/>
    </row>
    <row r="345" spans="1:9">
      <c r="A345" s="200"/>
      <c r="B345" s="200"/>
      <c r="C345" s="215"/>
      <c r="D345" s="200"/>
      <c r="E345" s="200"/>
      <c r="F345" s="200"/>
      <c r="G345" s="200"/>
      <c r="H345" s="200"/>
      <c r="I345" s="200"/>
    </row>
    <row r="347" spans="1:9" hidden="1">
      <c r="B347" s="1277" t="s">
        <v>318</v>
      </c>
      <c r="F347" s="189" t="s">
        <v>319</v>
      </c>
    </row>
    <row r="348" spans="1:9" hidden="1"/>
    <row r="349" spans="1:9" hidden="1">
      <c r="F349" s="1293">
        <f>F350/F357</f>
        <v>0</v>
      </c>
    </row>
    <row r="350" spans="1:9" hidden="1">
      <c r="F350" s="189">
        <f>F356*4</f>
        <v>0</v>
      </c>
    </row>
    <row r="351" spans="1:9" hidden="1"/>
    <row r="353" spans="2:20">
      <c r="F353" s="1780" t="s">
        <v>15</v>
      </c>
      <c r="G353" s="1780"/>
      <c r="H353" s="1780"/>
      <c r="I353" s="1780"/>
      <c r="J353" s="1780"/>
      <c r="K353" s="1780"/>
      <c r="L353" s="1780"/>
      <c r="N353" s="1780" t="s">
        <v>13</v>
      </c>
      <c r="O353" s="1780"/>
      <c r="P353" s="1780"/>
      <c r="Q353" s="1780"/>
      <c r="R353" s="1780"/>
      <c r="S353" s="1780"/>
      <c r="T353" s="1780"/>
    </row>
    <row r="354" spans="2:20">
      <c r="F354" s="1780" t="s">
        <v>368</v>
      </c>
      <c r="G354" s="1780"/>
      <c r="H354" s="1780"/>
      <c r="J354" s="1780" t="s">
        <v>369</v>
      </c>
      <c r="K354" s="1780"/>
      <c r="L354" s="1780"/>
      <c r="M354" s="1311"/>
      <c r="N354" s="1780" t="s">
        <v>368</v>
      </c>
      <c r="O354" s="1780"/>
      <c r="P354" s="1780"/>
      <c r="Q354" s="1256"/>
      <c r="R354" s="1780" t="s">
        <v>369</v>
      </c>
      <c r="S354" s="1780"/>
      <c r="T354" s="1780"/>
    </row>
    <row r="355" spans="2:20">
      <c r="F355" s="1312" t="s">
        <v>409</v>
      </c>
      <c r="G355" s="1313"/>
      <c r="H355" s="1314" t="s">
        <v>410</v>
      </c>
      <c r="J355" s="1312" t="s">
        <v>409</v>
      </c>
      <c r="K355" s="1312"/>
      <c r="L355" s="1314" t="s">
        <v>410</v>
      </c>
      <c r="M355" s="1314"/>
      <c r="N355" s="1312" t="s">
        <v>409</v>
      </c>
      <c r="O355" s="1313"/>
      <c r="P355" s="1314" t="s">
        <v>410</v>
      </c>
      <c r="Q355" s="1314"/>
      <c r="R355" s="1312" t="s">
        <v>409</v>
      </c>
      <c r="T355" s="1314" t="s">
        <v>410</v>
      </c>
    </row>
    <row r="356" spans="2:20">
      <c r="B356" s="1277" t="s">
        <v>323</v>
      </c>
      <c r="F356" s="1315">
        <f>'P &amp; L (company)'!C28</f>
        <v>0</v>
      </c>
      <c r="H356" s="1315">
        <f>'P &amp; L (company)'!E28</f>
        <v>0</v>
      </c>
      <c r="J356" s="1315">
        <f>'P &amp; L (company)'!I28</f>
        <v>-3123745175</v>
      </c>
      <c r="K356" s="439"/>
      <c r="L356" s="1315">
        <f>'P &amp; L (company)'!K28</f>
        <v>-2849961601</v>
      </c>
      <c r="N356" s="1315">
        <f>'P &amp; L (group)'!C29</f>
        <v>0</v>
      </c>
      <c r="P356" s="1315">
        <f>'P &amp; L (group)'!E29</f>
        <v>0</v>
      </c>
      <c r="Q356" s="439"/>
      <c r="R356" s="1315">
        <f>'P &amp; L (group)'!I29</f>
        <v>-3463216517</v>
      </c>
      <c r="S356" s="1289"/>
      <c r="T356" s="1315">
        <f>'P &amp; L (group)'!K29</f>
        <v>-3110334747</v>
      </c>
    </row>
    <row r="357" spans="2:20">
      <c r="F357" s="189">
        <f>Shares!H23</f>
        <v>1579862482</v>
      </c>
      <c r="H357" s="1294">
        <v>1579862482</v>
      </c>
      <c r="J357" s="1294">
        <f>F357</f>
        <v>1579862482</v>
      </c>
      <c r="K357" s="1294"/>
      <c r="L357" s="1294">
        <f>H357</f>
        <v>1579862482</v>
      </c>
      <c r="N357" s="1294">
        <f>F357</f>
        <v>1579862482</v>
      </c>
      <c r="P357" s="1294">
        <f>H357</f>
        <v>1579862482</v>
      </c>
      <c r="Q357" s="1294"/>
      <c r="R357" s="1294">
        <f>J357</f>
        <v>1579862482</v>
      </c>
      <c r="T357" s="1294">
        <f>L357</f>
        <v>1579862482</v>
      </c>
    </row>
    <row r="360" spans="2:20" ht="15.75" thickBot="1">
      <c r="F360" s="1316">
        <f>F356/F357</f>
        <v>0</v>
      </c>
      <c r="H360" s="1317">
        <f>H356/H357</f>
        <v>0</v>
      </c>
      <c r="J360" s="1317">
        <f>J356/J357</f>
        <v>-1.977225999471516</v>
      </c>
      <c r="K360" s="1318"/>
      <c r="L360" s="1317">
        <f>L356/L357</f>
        <v>-1.8039301733351751</v>
      </c>
      <c r="N360" s="1319">
        <f>N356/N357</f>
        <v>0</v>
      </c>
      <c r="P360" s="1319">
        <f>P356/P357</f>
        <v>0</v>
      </c>
      <c r="Q360" s="1297"/>
      <c r="R360" s="1319">
        <f>R356/R357</f>
        <v>-2.1920999811425359</v>
      </c>
      <c r="T360" s="1319">
        <f>T356/T357</f>
        <v>-1.9687376480151138</v>
      </c>
    </row>
    <row r="361" spans="2:20" ht="15.75" thickTop="1">
      <c r="F361" s="1293"/>
    </row>
    <row r="363" spans="2:20">
      <c r="F363" s="1780" t="s">
        <v>15</v>
      </c>
      <c r="G363" s="1780"/>
      <c r="H363" s="1780"/>
      <c r="J363" s="1781" t="s">
        <v>13</v>
      </c>
      <c r="K363" s="1781"/>
      <c r="L363" s="1781"/>
    </row>
    <row r="364" spans="2:20">
      <c r="F364" s="1304" t="s">
        <v>608</v>
      </c>
      <c r="G364" s="1320"/>
      <c r="H364" s="1258" t="s">
        <v>609</v>
      </c>
      <c r="J364" s="1304" t="str">
        <f>F364</f>
        <v>As at 30.06.2014</v>
      </c>
      <c r="K364" s="1320"/>
      <c r="L364" s="1258" t="str">
        <f>H364</f>
        <v>As at 31.03.2014</v>
      </c>
    </row>
    <row r="366" spans="2:20">
      <c r="B366" s="1277" t="s">
        <v>324</v>
      </c>
      <c r="F366" s="1315">
        <f>'BS (3)'!C44</f>
        <v>20244706157</v>
      </c>
      <c r="G366" s="189"/>
      <c r="H366" s="1315">
        <f>'BS (3)'!E44</f>
        <v>18643272578.18</v>
      </c>
      <c r="I366" s="189" t="e">
        <f>'BS (3)'!#REF!</f>
        <v>#REF!</v>
      </c>
      <c r="J366" s="1315">
        <f>'BS (3)'!N44</f>
        <v>20949739607</v>
      </c>
      <c r="K366" s="1315"/>
      <c r="L366" s="1315">
        <f>'BS (3)'!P44</f>
        <v>18932041041.18</v>
      </c>
    </row>
    <row r="367" spans="2:20">
      <c r="F367" s="189">
        <f>F357</f>
        <v>1579862482</v>
      </c>
      <c r="H367" s="1294">
        <f>H357</f>
        <v>1579862482</v>
      </c>
      <c r="J367" s="1294">
        <f>J357</f>
        <v>1579862482</v>
      </c>
      <c r="K367" s="1294"/>
      <c r="L367" s="1294">
        <f>L357</f>
        <v>1579862482</v>
      </c>
    </row>
    <row r="369" spans="2:12" ht="15.75" thickBot="1">
      <c r="B369" s="1277" t="s">
        <v>610</v>
      </c>
      <c r="F369" s="1316">
        <f>F366/F367</f>
        <v>12.814220470234574</v>
      </c>
      <c r="G369" s="1293"/>
      <c r="H369" s="1316">
        <f>H366/H367</f>
        <v>11.800566688930335</v>
      </c>
      <c r="I369" s="1293"/>
      <c r="J369" s="1316">
        <f>J366/J367</f>
        <v>13.260483013989315</v>
      </c>
      <c r="K369" s="1293"/>
      <c r="L369" s="1316">
        <f>L366/L367</f>
        <v>11.983347447566009</v>
      </c>
    </row>
    <row r="370" spans="2:12" ht="15.75" thickTop="1"/>
    <row r="371" spans="2:12">
      <c r="B371" s="1277" t="s">
        <v>336</v>
      </c>
      <c r="F371" s="1315" t="s">
        <v>319</v>
      </c>
    </row>
    <row r="372" spans="2:12">
      <c r="F372" s="189" t="s">
        <v>337</v>
      </c>
    </row>
    <row r="374" spans="2:12">
      <c r="F374" s="1321">
        <v>16.75</v>
      </c>
      <c r="J374" s="1307"/>
    </row>
    <row r="375" spans="2:12">
      <c r="F375" s="1293">
        <v>108.61</v>
      </c>
      <c r="J375" s="1307"/>
    </row>
    <row r="376" spans="2:12">
      <c r="J376" s="1307"/>
    </row>
    <row r="377" spans="2:12" ht="15.75" thickBot="1">
      <c r="F377" s="1322">
        <f>F374/F375</f>
        <v>0.15422152656293159</v>
      </c>
      <c r="J377" s="1323"/>
    </row>
    <row r="378" spans="2:12" ht="15.75" thickTop="1"/>
    <row r="379" spans="2:12">
      <c r="H379" s="1277" t="s">
        <v>611</v>
      </c>
      <c r="J379" s="1277" t="s">
        <v>612</v>
      </c>
      <c r="L379" s="1277" t="s">
        <v>613</v>
      </c>
    </row>
    <row r="380" spans="2:12">
      <c r="F380" s="189" t="s">
        <v>319</v>
      </c>
      <c r="H380" s="1297">
        <f>Debenture!D24</f>
        <v>16.5</v>
      </c>
      <c r="J380" s="1297">
        <f>Debenture!D25</f>
        <v>16.75</v>
      </c>
      <c r="L380" s="1297">
        <f>Debenture!D26</f>
        <v>17</v>
      </c>
    </row>
    <row r="381" spans="2:12">
      <c r="F381" s="189" t="s">
        <v>337</v>
      </c>
      <c r="H381" s="1297">
        <f>Debenture!E10</f>
        <v>114.95</v>
      </c>
    </row>
    <row r="383" spans="2:12">
      <c r="F383" s="1277" t="s">
        <v>336</v>
      </c>
      <c r="H383" s="1327">
        <f>H380/H381</f>
        <v>0.14354066985645933</v>
      </c>
    </row>
    <row r="386" spans="2:12">
      <c r="B386" s="1277" t="s">
        <v>338</v>
      </c>
      <c r="F386" s="1315" t="s">
        <v>339</v>
      </c>
      <c r="G386" s="1324"/>
      <c r="H386" s="1324"/>
      <c r="J386" s="1277" t="s">
        <v>341</v>
      </c>
    </row>
    <row r="387" spans="2:12">
      <c r="F387" s="189" t="s">
        <v>340</v>
      </c>
    </row>
    <row r="389" spans="2:12">
      <c r="F389" s="1315" t="s">
        <v>417</v>
      </c>
    </row>
    <row r="390" spans="2:12">
      <c r="F390" s="189" t="s">
        <v>418</v>
      </c>
    </row>
    <row r="392" spans="2:12" ht="15.75" thickBot="1">
      <c r="F392" s="1325">
        <f>(16.75+(-8.61/4.25))/(208.61/2)</f>
        <v>0.14116406353538971</v>
      </c>
      <c r="H392" s="1277">
        <f>(16.75+(-8.61/4.25))</f>
        <v>14.724117647058824</v>
      </c>
      <c r="J392" s="1277">
        <f>(208.61/2)</f>
        <v>104.30500000000001</v>
      </c>
    </row>
    <row r="393" spans="2:12" ht="15.75" thickTop="1">
      <c r="L393" s="1297"/>
    </row>
    <row r="394" spans="2:12" ht="13.5" customHeight="1">
      <c r="F394" s="1277"/>
      <c r="G394" s="1277"/>
      <c r="H394" s="1277" t="s">
        <v>611</v>
      </c>
      <c r="J394" s="1277" t="s">
        <v>612</v>
      </c>
      <c r="L394" s="1277" t="s">
        <v>613</v>
      </c>
    </row>
    <row r="395" spans="2:12" ht="13.5" customHeight="1">
      <c r="F395" s="1277" t="s">
        <v>618</v>
      </c>
      <c r="G395" s="1277"/>
      <c r="H395" s="1331">
        <v>42881</v>
      </c>
      <c r="J395" s="1331">
        <v>43246</v>
      </c>
      <c r="L395" s="1331">
        <v>43246</v>
      </c>
    </row>
    <row r="396" spans="2:12" ht="13.5" customHeight="1">
      <c r="F396" s="1277" t="s">
        <v>619</v>
      </c>
      <c r="G396" s="1277"/>
      <c r="H396" s="1332">
        <v>41820</v>
      </c>
      <c r="J396" s="1331">
        <f>H396</f>
        <v>41820</v>
      </c>
      <c r="L396" s="1331">
        <f>H396</f>
        <v>41820</v>
      </c>
    </row>
    <row r="397" spans="2:12">
      <c r="F397" s="1277" t="s">
        <v>614</v>
      </c>
      <c r="G397" s="1277"/>
      <c r="H397" s="1297">
        <f>Debenture!D24</f>
        <v>16.5</v>
      </c>
      <c r="J397" s="1297">
        <f>Debenture!D25</f>
        <v>16.75</v>
      </c>
      <c r="L397" s="1297">
        <f>Debenture!D26</f>
        <v>17</v>
      </c>
    </row>
    <row r="398" spans="2:12">
      <c r="F398" s="1277" t="s">
        <v>615</v>
      </c>
      <c r="G398" s="1277"/>
      <c r="H398" s="1277">
        <v>100</v>
      </c>
      <c r="J398" s="1277">
        <v>100</v>
      </c>
      <c r="L398" s="1277">
        <v>100</v>
      </c>
    </row>
    <row r="399" spans="2:12">
      <c r="F399" s="189" t="s">
        <v>616</v>
      </c>
      <c r="H399" s="1297">
        <f>Debenture!E10</f>
        <v>114.95</v>
      </c>
    </row>
    <row r="400" spans="2:12">
      <c r="F400" s="189" t="s">
        <v>617</v>
      </c>
      <c r="H400" s="1277">
        <f>(H395-H396)/365</f>
        <v>2.9068493150684933</v>
      </c>
    </row>
    <row r="402" spans="2:15">
      <c r="F402" s="189" t="s">
        <v>338</v>
      </c>
      <c r="H402" s="1333">
        <f>(H397+((H398-H399)/H400))</f>
        <v>11.356974552309142</v>
      </c>
    </row>
    <row r="403" spans="2:15">
      <c r="H403" s="1297">
        <f>H398+(H399/2)</f>
        <v>157.47499999999999</v>
      </c>
    </row>
    <row r="405" spans="2:15">
      <c r="F405" s="189" t="str">
        <f>F402</f>
        <v>YTM</v>
      </c>
      <c r="H405" s="1327">
        <f>H402/H403</f>
        <v>7.2119222430920102E-2</v>
      </c>
    </row>
    <row r="407" spans="2:15">
      <c r="B407" s="1258" t="s">
        <v>294</v>
      </c>
    </row>
    <row r="408" spans="2:15">
      <c r="B408" s="1277" t="s">
        <v>346</v>
      </c>
      <c r="F408" s="189">
        <f>'P &amp; L (company)'!C28</f>
        <v>0</v>
      </c>
      <c r="J408" s="203" t="s">
        <v>284</v>
      </c>
      <c r="N408" s="1304" t="s">
        <v>344</v>
      </c>
      <c r="O408" s="1307"/>
    </row>
    <row r="409" spans="2:15" s="1258" customFormat="1">
      <c r="B409" s="1258" t="s">
        <v>344</v>
      </c>
      <c r="F409" s="1304">
        <f>F408/6*12</f>
        <v>0</v>
      </c>
      <c r="G409" s="1320"/>
      <c r="J409" s="205" t="s">
        <v>285</v>
      </c>
      <c r="K409" s="205">
        <f>C274</f>
        <v>7307101734</v>
      </c>
      <c r="L409" s="205">
        <f>'P &amp; L (company)'!C25+'P &amp; L (company)'!C8</f>
        <v>0</v>
      </c>
      <c r="M409" s="206"/>
      <c r="N409" s="1326">
        <f>L409/6*12</f>
        <v>0</v>
      </c>
    </row>
    <row r="410" spans="2:15">
      <c r="B410" s="1277" t="s">
        <v>342</v>
      </c>
      <c r="F410" s="189">
        <f>'BS (3)'!E44</f>
        <v>18643272578.18</v>
      </c>
      <c r="J410" s="206" t="s">
        <v>287</v>
      </c>
      <c r="K410" s="208">
        <f>C270</f>
        <v>3585614244</v>
      </c>
      <c r="L410" s="208">
        <f>'P &amp; L (company)'!C8</f>
        <v>0</v>
      </c>
      <c r="M410" s="208"/>
      <c r="N410" s="1294">
        <f>L410/6*12</f>
        <v>0</v>
      </c>
    </row>
    <row r="411" spans="2:15">
      <c r="B411" s="1277" t="s">
        <v>343</v>
      </c>
      <c r="F411" s="189">
        <f>'BS (3)'!C44</f>
        <v>20244706157</v>
      </c>
      <c r="J411" s="204"/>
      <c r="K411" s="210">
        <f>K409/K410</f>
        <v>2.0378939943769367</v>
      </c>
      <c r="L411" s="211" t="e">
        <f>L409/L410</f>
        <v>#DIV/0!</v>
      </c>
      <c r="M411" s="211"/>
      <c r="N411" s="1289" t="e">
        <f>N409/N410</f>
        <v>#DIV/0!</v>
      </c>
    </row>
    <row r="412" spans="2:15" s="1258" customFormat="1" ht="14.25">
      <c r="B412" s="1258" t="s">
        <v>345</v>
      </c>
      <c r="F412" s="1304">
        <f>AVERAGE(F410:F411)</f>
        <v>19443989367.59</v>
      </c>
      <c r="G412" s="1320"/>
    </row>
    <row r="413" spans="2:15" ht="15.75" thickBot="1">
      <c r="F413" s="1325">
        <f>F409/F412</f>
        <v>0</v>
      </c>
      <c r="H413" s="1327"/>
    </row>
    <row r="414" spans="2:15" ht="15.75" thickTop="1"/>
    <row r="416" spans="2:15">
      <c r="B416" s="1258" t="s">
        <v>347</v>
      </c>
    </row>
    <row r="417" spans="2:8">
      <c r="B417" s="1277" t="s">
        <v>289</v>
      </c>
      <c r="F417" s="189">
        <f>'P &amp; L (company)'!C25</f>
        <v>0</v>
      </c>
    </row>
    <row r="418" spans="2:8">
      <c r="B418" s="1258" t="s">
        <v>344</v>
      </c>
      <c r="F418" s="1304">
        <f>F417/9*12</f>
        <v>0</v>
      </c>
    </row>
    <row r="419" spans="2:8">
      <c r="B419" s="1277" t="s">
        <v>348</v>
      </c>
      <c r="F419" s="189">
        <f>'BS (3)'!E25</f>
        <v>100010183458</v>
      </c>
    </row>
    <row r="420" spans="2:8">
      <c r="B420" s="1277" t="s">
        <v>349</v>
      </c>
      <c r="F420" s="189">
        <f>'BS (3)'!C25</f>
        <v>110031714886</v>
      </c>
    </row>
    <row r="421" spans="2:8">
      <c r="B421" s="1258" t="s">
        <v>345</v>
      </c>
      <c r="F421" s="1304">
        <f>AVERAGE(F419:F420)</f>
        <v>105020949172</v>
      </c>
    </row>
    <row r="422" spans="2:8" ht="15.75" thickBot="1">
      <c r="F422" s="1325">
        <f>F418/F421</f>
        <v>0</v>
      </c>
    </row>
    <row r="423" spans="2:8" ht="15.75" thickTop="1"/>
    <row r="425" spans="2:8">
      <c r="B425" s="1258" t="s">
        <v>55</v>
      </c>
    </row>
    <row r="426" spans="2:8">
      <c r="B426" s="1277" t="s">
        <v>382</v>
      </c>
      <c r="F426" s="1315">
        <f>'P &amp; L (company)'!C9</f>
        <v>0</v>
      </c>
    </row>
    <row r="427" spans="2:8">
      <c r="B427" s="1277" t="s">
        <v>383</v>
      </c>
      <c r="F427" s="189" t="e">
        <f>(F437+H437)/2</f>
        <v>#REF!</v>
      </c>
    </row>
    <row r="429" spans="2:8">
      <c r="F429" s="1327" t="e">
        <f>F426/F427</f>
        <v>#REF!</v>
      </c>
    </row>
    <row r="430" spans="2:8">
      <c r="B430" s="1277" t="s">
        <v>344</v>
      </c>
      <c r="F430" s="1327" t="e">
        <f>(F426/6*12)/F427</f>
        <v>#REF!</v>
      </c>
    </row>
    <row r="432" spans="2:8">
      <c r="B432" s="1258" t="s">
        <v>384</v>
      </c>
      <c r="F432" s="1304" t="s">
        <v>388</v>
      </c>
      <c r="H432" s="1258" t="s">
        <v>389</v>
      </c>
    </row>
    <row r="433" spans="2:8">
      <c r="B433" s="1277" t="s">
        <v>385</v>
      </c>
      <c r="F433" s="189">
        <f>'BS (3)'!C13-576702888</f>
        <v>46344292018</v>
      </c>
      <c r="H433" s="189">
        <f>'BS (3)'!E13-341446871</f>
        <v>47328346940</v>
      </c>
    </row>
    <row r="434" spans="2:8">
      <c r="B434" s="1277" t="s">
        <v>310</v>
      </c>
      <c r="F434" s="189">
        <f>'BS (3)'!C10</f>
        <v>316970235</v>
      </c>
      <c r="H434" s="189">
        <f>'BS (3)'!E10</f>
        <v>598392048</v>
      </c>
    </row>
    <row r="435" spans="2:8">
      <c r="B435" s="1277" t="s">
        <v>386</v>
      </c>
      <c r="F435" s="189">
        <f>'BS (3)'!C18</f>
        <v>4553977449</v>
      </c>
      <c r="H435" s="189">
        <f>'BS (3)'!E18</f>
        <v>1656468377</v>
      </c>
    </row>
    <row r="436" spans="2:8">
      <c r="B436" s="1277" t="s">
        <v>387</v>
      </c>
      <c r="F436" s="189" t="e">
        <f>'BS (3)'!#REF!-1872556222</f>
        <v>#REF!</v>
      </c>
      <c r="H436" s="189" t="e">
        <f>'BS (3)'!#REF!-1716103413-73706184</f>
        <v>#REF!</v>
      </c>
    </row>
    <row r="437" spans="2:8" ht="15.75" thickBot="1">
      <c r="F437" s="435" t="e">
        <f>SUM(F433:F436)</f>
        <v>#REF!</v>
      </c>
      <c r="H437" s="1328" t="e">
        <f>SUM(H433:H436)</f>
        <v>#REF!</v>
      </c>
    </row>
    <row r="438" spans="2:8" ht="15.75" thickTop="1"/>
    <row r="439" spans="2:8" ht="15.75" thickBot="1">
      <c r="B439" s="1259" t="s">
        <v>370</v>
      </c>
      <c r="C439" s="1260"/>
      <c r="D439" s="1261"/>
    </row>
    <row r="440" spans="2:8">
      <c r="B440" s="1262"/>
      <c r="C440" s="1263"/>
      <c r="D440" s="1264" t="s">
        <v>371</v>
      </c>
    </row>
    <row r="441" spans="2:8">
      <c r="B441" s="1265" t="s">
        <v>372</v>
      </c>
      <c r="C441" s="1266"/>
      <c r="D441" s="1266">
        <v>0</v>
      </c>
      <c r="F441" s="189">
        <f>1680310000+6000000000+411231132</f>
        <v>8091541132</v>
      </c>
    </row>
    <row r="442" spans="2:8">
      <c r="B442" s="1265" t="s">
        <v>373</v>
      </c>
      <c r="C442" s="1266"/>
      <c r="D442" s="1266">
        <v>0</v>
      </c>
      <c r="F442" s="189">
        <v>10856267182.33</v>
      </c>
    </row>
    <row r="443" spans="2:8">
      <c r="B443" s="1265" t="s">
        <v>374</v>
      </c>
      <c r="C443" s="1266"/>
      <c r="D443" s="1266">
        <v>0</v>
      </c>
      <c r="F443" s="189">
        <v>226682325.34999999</v>
      </c>
    </row>
    <row r="444" spans="2:8">
      <c r="B444" s="1265" t="s">
        <v>375</v>
      </c>
      <c r="C444" s="1266"/>
      <c r="D444" s="1266">
        <v>0</v>
      </c>
      <c r="F444" s="189">
        <v>11074130721.410002</v>
      </c>
    </row>
    <row r="445" spans="2:8">
      <c r="B445" s="1265" t="s">
        <v>376</v>
      </c>
      <c r="C445" s="1266"/>
      <c r="D445" s="1266">
        <v>0</v>
      </c>
      <c r="F445" s="189">
        <v>14376126030.01</v>
      </c>
    </row>
    <row r="446" spans="2:8">
      <c r="B446" s="1265" t="s">
        <v>377</v>
      </c>
      <c r="C446" s="1266"/>
      <c r="D446" s="1266">
        <v>0</v>
      </c>
      <c r="F446" s="189">
        <v>29769955021.240009</v>
      </c>
    </row>
    <row r="447" spans="2:8">
      <c r="B447" s="1265" t="s">
        <v>378</v>
      </c>
      <c r="C447" s="1260"/>
      <c r="D447" s="1266">
        <v>0</v>
      </c>
      <c r="F447" s="189">
        <v>949361048.66000009</v>
      </c>
    </row>
    <row r="448" spans="2:8">
      <c r="B448" s="1265" t="s">
        <v>379</v>
      </c>
      <c r="C448" s="1260"/>
      <c r="D448" s="1266">
        <v>0</v>
      </c>
      <c r="F448" s="189">
        <v>680749999</v>
      </c>
    </row>
    <row r="449" spans="2:8" ht="15.75" thickBot="1">
      <c r="B449" s="1267"/>
      <c r="C449" s="1260"/>
      <c r="D449" s="1268">
        <f>SUM(D441:D448)</f>
        <v>0</v>
      </c>
      <c r="F449" s="1329">
        <f>SUM(F441:F448)</f>
        <v>76024813460.000015</v>
      </c>
    </row>
    <row r="450" spans="2:8">
      <c r="B450" s="1267"/>
      <c r="C450" s="1260"/>
      <c r="D450" s="1269"/>
    </row>
    <row r="451" spans="2:8">
      <c r="B451" s="1270" t="s">
        <v>380</v>
      </c>
      <c r="C451" s="1260"/>
      <c r="D451" s="1260"/>
    </row>
    <row r="452" spans="2:8">
      <c r="B452" s="1271" t="s">
        <v>380</v>
      </c>
      <c r="C452" s="1260"/>
      <c r="D452" s="1272">
        <v>0</v>
      </c>
      <c r="F452" s="189">
        <v>18640414047.27224</v>
      </c>
    </row>
    <row r="453" spans="2:8">
      <c r="B453" s="1271"/>
      <c r="C453" s="1260"/>
      <c r="D453" s="1272"/>
    </row>
    <row r="454" spans="2:8" ht="15.75" thickBot="1">
      <c r="B454" s="1273" t="s">
        <v>381</v>
      </c>
      <c r="C454" s="1274"/>
      <c r="D454" s="1275">
        <f>D452-D453</f>
        <v>0</v>
      </c>
      <c r="E454" s="1258"/>
      <c r="F454" s="1330">
        <f>F449/F452</f>
        <v>4.0784938181738069</v>
      </c>
    </row>
    <row r="455" spans="2:8">
      <c r="B455" s="1271"/>
      <c r="C455" s="1260"/>
      <c r="D455" s="1276" t="e">
        <f>D449/D454</f>
        <v>#DIV/0!</v>
      </c>
    </row>
    <row r="458" spans="2:8" ht="18.75">
      <c r="B458" s="1342" t="s">
        <v>626</v>
      </c>
    </row>
    <row r="459" spans="2:8">
      <c r="B459"/>
      <c r="F459" s="1348">
        <v>41820</v>
      </c>
      <c r="H459" s="1343" t="s">
        <v>551</v>
      </c>
    </row>
    <row r="460" spans="2:8" ht="17.25">
      <c r="B460"/>
      <c r="F460" s="1344" t="s">
        <v>15</v>
      </c>
      <c r="H460" s="1344" t="s">
        <v>15</v>
      </c>
    </row>
    <row r="461" spans="2:8">
      <c r="B461" s="1345" t="s">
        <v>627</v>
      </c>
      <c r="F461" s="192">
        <v>49345218351.531723</v>
      </c>
      <c r="H461" s="192">
        <v>56254980803.932678</v>
      </c>
    </row>
    <row r="462" spans="2:8">
      <c r="B462" s="1345" t="s">
        <v>628</v>
      </c>
      <c r="F462" s="192">
        <v>47662925.329999998</v>
      </c>
      <c r="H462" s="192">
        <v>47077770</v>
      </c>
    </row>
    <row r="463" spans="2:8">
      <c r="B463" s="1345" t="s">
        <v>438</v>
      </c>
      <c r="F463" s="192">
        <v>0</v>
      </c>
      <c r="H463" s="192">
        <v>244583</v>
      </c>
    </row>
    <row r="464" spans="2:8">
      <c r="B464" s="1345" t="s">
        <v>629</v>
      </c>
      <c r="F464" s="1346"/>
      <c r="H464" s="1346">
        <v>253071563</v>
      </c>
    </row>
    <row r="465" spans="2:10">
      <c r="B465" s="1345"/>
      <c r="F465" s="192">
        <f>F461-F462-F463+F464</f>
        <v>49297555426.201721</v>
      </c>
      <c r="H465" s="192">
        <v>56460730013.932678</v>
      </c>
      <c r="J465" s="192">
        <f>H461-H462-H463+H464</f>
        <v>56460730013.932678</v>
      </c>
    </row>
    <row r="466" spans="2:10">
      <c r="B466"/>
      <c r="F466" s="192"/>
      <c r="H466" s="192"/>
    </row>
    <row r="467" spans="2:10">
      <c r="B467" s="1345" t="s">
        <v>630</v>
      </c>
      <c r="F467" s="192">
        <v>62586696118.023437</v>
      </c>
      <c r="H467" s="192">
        <v>63877840714.385803</v>
      </c>
    </row>
    <row r="468" spans="2:10" ht="15.75" thickBot="1">
      <c r="B468" s="1345" t="s">
        <v>381</v>
      </c>
      <c r="F468" s="1349">
        <f>F465/F467*100</f>
        <v>78.766828230137605</v>
      </c>
      <c r="H468" s="1347">
        <v>0.88388601403079781</v>
      </c>
      <c r="J468" s="1277">
        <f>H465/H467</f>
        <v>0.88388601403079781</v>
      </c>
    </row>
    <row r="469" spans="2:10" ht="15.75" thickTop="1">
      <c r="B469"/>
    </row>
    <row r="470" spans="2:10">
      <c r="F470" s="1348">
        <v>41820</v>
      </c>
      <c r="H470" s="1348">
        <v>41729</v>
      </c>
    </row>
    <row r="471" spans="2:10" ht="17.25">
      <c r="B471" s="1350" t="s">
        <v>631</v>
      </c>
      <c r="F471" s="1344" t="s">
        <v>15</v>
      </c>
      <c r="H471" s="1344" t="s">
        <v>15</v>
      </c>
    </row>
    <row r="472" spans="2:10">
      <c r="B472" s="1351" t="s">
        <v>632</v>
      </c>
      <c r="F472" s="189">
        <f>'P &amp; L (C &amp; G)'!C33+'P &amp; L (C &amp; G)'!C8</f>
        <v>7531338262.9799995</v>
      </c>
      <c r="H472" s="1277">
        <v>15652920037.217503</v>
      </c>
    </row>
    <row r="473" spans="2:10">
      <c r="B473" s="1351" t="s">
        <v>633</v>
      </c>
      <c r="F473" s="189">
        <f>'P &amp; L (C &amp; G)'!C8</f>
        <v>5083403506</v>
      </c>
      <c r="H473" s="1277">
        <v>11265956628.909998</v>
      </c>
    </row>
    <row r="474" spans="2:10">
      <c r="B474" s="1350" t="s">
        <v>381</v>
      </c>
      <c r="F474" s="1289">
        <f>F472/F473</f>
        <v>1.4815542882029085</v>
      </c>
      <c r="H474" s="1289">
        <f>H472/H473</f>
        <v>1.3893999908582952</v>
      </c>
    </row>
  </sheetData>
  <mergeCells count="8">
    <mergeCell ref="N353:T353"/>
    <mergeCell ref="N354:P354"/>
    <mergeCell ref="R354:T354"/>
    <mergeCell ref="F363:H363"/>
    <mergeCell ref="J363:L363"/>
    <mergeCell ref="F354:H354"/>
    <mergeCell ref="J354:L354"/>
    <mergeCell ref="F353:L353"/>
  </mergeCells>
  <pageMargins left="0.7" right="0.7" top="0.17" bottom="0.18" header="0.3" footer="0.3"/>
  <pageSetup scale="65" orientation="landscape" r:id="rId1"/>
  <rowBreaks count="3" manualBreakCount="3">
    <brk id="117" max="16383" man="1"/>
    <brk id="191" max="16383" man="1"/>
    <brk id="260" max="16383" man="1"/>
  </rowBreaks>
</worksheet>
</file>

<file path=xl/worksheets/sheet28.xml><?xml version="1.0" encoding="utf-8"?>
<worksheet xmlns="http://schemas.openxmlformats.org/spreadsheetml/2006/main" xmlns:r="http://schemas.openxmlformats.org/officeDocument/2006/relationships">
  <sheetPr>
    <tabColor rgb="FF00B050"/>
    <pageSetUpPr fitToPage="1"/>
  </sheetPr>
  <dimension ref="A1:R50"/>
  <sheetViews>
    <sheetView view="pageBreakPreview" zoomScale="80" zoomScaleSheetLayoutView="80" workbookViewId="0">
      <pane xSplit="2" ySplit="4" topLeftCell="C23" activePane="bottomRight" state="frozen"/>
      <selection activeCell="C8" sqref="C8"/>
      <selection pane="topRight" activeCell="C8" sqref="C8"/>
      <selection pane="bottomLeft" activeCell="C8" sqref="C8"/>
      <selection pane="bottomRight" activeCell="C8" sqref="C8"/>
    </sheetView>
  </sheetViews>
  <sheetFormatPr defaultColWidth="9.140625" defaultRowHeight="15.75"/>
  <cols>
    <col min="1" max="1" width="47.140625" style="9" customWidth="1"/>
    <col min="2" max="2" width="3.28515625" style="9" customWidth="1"/>
    <col min="3" max="3" width="16.42578125" style="46" customWidth="1"/>
    <col min="4" max="4" width="0.85546875" style="10" customWidth="1"/>
    <col min="5" max="5" width="16.42578125" style="9" customWidth="1"/>
    <col min="6" max="6" width="0.85546875" style="9" customWidth="1"/>
    <col min="7" max="7" width="10.7109375" style="9" customWidth="1"/>
    <col min="8" max="8" width="0.85546875" style="9" customWidth="1"/>
    <col min="9" max="9" width="17.7109375" style="13" customWidth="1"/>
    <col min="10" max="10" width="0.85546875" style="12" customWidth="1"/>
    <col min="11" max="11" width="17.7109375" style="13" customWidth="1"/>
    <col min="12" max="12" width="0.85546875" style="13" customWidth="1"/>
    <col min="13" max="13" width="10.7109375" style="9" customWidth="1"/>
    <col min="14" max="14" width="3" style="13" customWidth="1"/>
    <col min="15" max="15" width="20.140625" style="276" customWidth="1"/>
    <col min="16" max="16" width="9.140625" style="276" customWidth="1"/>
    <col min="17" max="17" width="20.140625" style="276" customWidth="1"/>
    <col min="18" max="18" width="14.5703125" style="237" customWidth="1"/>
    <col min="19" max="16384" width="9.140625" style="9"/>
  </cols>
  <sheetData>
    <row r="1" spans="1:18">
      <c r="A1" s="1782" t="s">
        <v>549</v>
      </c>
      <c r="B1" s="1783"/>
      <c r="C1" s="1783"/>
      <c r="D1" s="1783"/>
      <c r="E1" s="1783"/>
      <c r="F1" s="1783"/>
      <c r="G1" s="1783"/>
      <c r="H1" s="1783"/>
      <c r="I1" s="1783"/>
      <c r="J1" s="1783"/>
      <c r="K1" s="1783"/>
      <c r="L1" s="1783"/>
      <c r="M1" s="1783"/>
      <c r="N1" s="313"/>
    </row>
    <row r="2" spans="1:18" ht="14.25" customHeight="1">
      <c r="A2" s="10"/>
      <c r="B2" s="10"/>
      <c r="C2" s="11"/>
      <c r="E2" s="10"/>
      <c r="F2" s="10"/>
      <c r="G2" s="10"/>
      <c r="H2" s="10"/>
      <c r="I2" s="12"/>
    </row>
    <row r="3" spans="1:18" ht="16.5" customHeight="1" thickBot="1">
      <c r="A3" s="14"/>
      <c r="B3" s="14"/>
      <c r="C3" s="1784" t="s">
        <v>15</v>
      </c>
      <c r="D3" s="1784"/>
      <c r="E3" s="1784"/>
      <c r="F3" s="1784"/>
      <c r="G3" s="1784"/>
      <c r="H3" s="15"/>
      <c r="I3" s="1785" t="s">
        <v>13</v>
      </c>
      <c r="J3" s="1785"/>
      <c r="K3" s="1785"/>
      <c r="L3" s="1785"/>
      <c r="M3" s="1785"/>
      <c r="N3" s="12"/>
    </row>
    <row r="4" spans="1:18">
      <c r="A4" s="14" t="s">
        <v>156</v>
      </c>
      <c r="B4" s="14"/>
      <c r="C4" s="18" t="s">
        <v>551</v>
      </c>
      <c r="D4" s="19"/>
      <c r="E4" s="20" t="s">
        <v>552</v>
      </c>
      <c r="F4" s="20"/>
      <c r="G4" s="20" t="s">
        <v>151</v>
      </c>
      <c r="H4" s="20"/>
      <c r="I4" s="18" t="str">
        <f>C4</f>
        <v>2014</v>
      </c>
      <c r="J4" s="19"/>
      <c r="K4" s="20" t="str">
        <f>E4</f>
        <v>2013</v>
      </c>
      <c r="L4" s="20"/>
      <c r="M4" s="20" t="s">
        <v>151</v>
      </c>
      <c r="N4" s="20"/>
      <c r="O4" s="20"/>
      <c r="P4" s="277"/>
      <c r="Q4" s="312"/>
    </row>
    <row r="5" spans="1:18">
      <c r="A5" s="14"/>
      <c r="B5" s="14"/>
      <c r="C5" s="18" t="s">
        <v>19</v>
      </c>
      <c r="D5" s="19"/>
      <c r="E5" s="20" t="s">
        <v>19</v>
      </c>
      <c r="F5" s="20"/>
      <c r="G5" s="20" t="s">
        <v>28</v>
      </c>
      <c r="H5" s="20"/>
      <c r="I5" s="18" t="s">
        <v>19</v>
      </c>
      <c r="J5" s="20"/>
      <c r="K5" s="20" t="s">
        <v>19</v>
      </c>
      <c r="L5" s="20"/>
      <c r="M5" s="20" t="s">
        <v>28</v>
      </c>
      <c r="N5" s="20"/>
      <c r="O5" s="20"/>
      <c r="Q5" s="20"/>
    </row>
    <row r="6" spans="1:18" ht="16.5" thickBot="1">
      <c r="A6" s="21"/>
      <c r="B6" s="21"/>
      <c r="C6" s="22" t="s">
        <v>148</v>
      </c>
      <c r="D6" s="23"/>
      <c r="E6" s="23" t="s">
        <v>148</v>
      </c>
      <c r="F6" s="23"/>
      <c r="G6" s="23"/>
      <c r="H6" s="51"/>
      <c r="I6" s="22" t="s">
        <v>148</v>
      </c>
      <c r="J6" s="23"/>
      <c r="K6" s="23" t="s">
        <v>148</v>
      </c>
      <c r="L6" s="23"/>
      <c r="M6" s="17"/>
      <c r="N6" s="12"/>
      <c r="O6" s="23"/>
      <c r="Q6" s="23"/>
    </row>
    <row r="7" spans="1:18" ht="20.100000000000001" customHeight="1">
      <c r="A7" s="10" t="s">
        <v>79</v>
      </c>
      <c r="B7" s="10"/>
      <c r="C7" s="25">
        <v>9850782460</v>
      </c>
      <c r="D7" s="11"/>
      <c r="E7" s="11">
        <v>9480940616</v>
      </c>
      <c r="F7" s="11"/>
      <c r="G7" s="343">
        <f t="shared" ref="G7:G22" si="0">(C7-E7)/E7</f>
        <v>3.9008982228604647E-2</v>
      </c>
      <c r="H7" s="11"/>
      <c r="I7" s="25">
        <v>10041389800</v>
      </c>
      <c r="J7" s="11">
        <v>0</v>
      </c>
      <c r="K7" s="11">
        <v>9689904992</v>
      </c>
      <c r="L7" s="11"/>
      <c r="M7" s="343">
        <f>(I7-K7)/K7</f>
        <v>3.6273297652576197E-2</v>
      </c>
      <c r="N7" s="12"/>
    </row>
    <row r="8" spans="1:18" ht="20.100000000000001" customHeight="1">
      <c r="A8" s="10" t="s">
        <v>333</v>
      </c>
      <c r="B8" s="10"/>
      <c r="C8" s="28">
        <v>5083403506</v>
      </c>
      <c r="D8" s="11"/>
      <c r="E8" s="29">
        <v>5543684682</v>
      </c>
      <c r="F8" s="11"/>
      <c r="G8" s="343">
        <f t="shared" si="0"/>
        <v>-8.302802240800318E-2</v>
      </c>
      <c r="H8" s="11"/>
      <c r="I8" s="28">
        <v>5144860178</v>
      </c>
      <c r="J8" s="11"/>
      <c r="K8" s="29">
        <v>5642465835</v>
      </c>
      <c r="L8" s="11"/>
      <c r="M8" s="343">
        <f>(I8-K8)/K8</f>
        <v>-8.8189396542442691E-2</v>
      </c>
      <c r="N8" s="12"/>
      <c r="O8" s="318"/>
      <c r="Q8" s="318"/>
    </row>
    <row r="9" spans="1:18" s="27" customFormat="1" ht="20.100000000000001" customHeight="1">
      <c r="A9" s="14" t="s">
        <v>80</v>
      </c>
      <c r="B9" s="14"/>
      <c r="C9" s="30">
        <f>C7-C8</f>
        <v>4767378954</v>
      </c>
      <c r="D9" s="26"/>
      <c r="E9" s="26">
        <f>E7-E8</f>
        <v>3937255934</v>
      </c>
      <c r="F9" s="26"/>
      <c r="G9" s="344">
        <f t="shared" si="0"/>
        <v>0.21083796276272246</v>
      </c>
      <c r="H9" s="26"/>
      <c r="I9" s="30">
        <f>I7-I8</f>
        <v>4896529622</v>
      </c>
      <c r="J9" s="26"/>
      <c r="K9" s="26">
        <f>K7-K8</f>
        <v>4047439157</v>
      </c>
      <c r="L9" s="26"/>
      <c r="M9" s="344">
        <f>(I9-K9)/K9</f>
        <v>0.20978461492904907</v>
      </c>
      <c r="N9" s="314"/>
      <c r="O9" s="277"/>
      <c r="P9" s="277"/>
      <c r="Q9" s="277"/>
      <c r="R9" s="275"/>
    </row>
    <row r="10" spans="1:18" s="27" customFormat="1" ht="20.100000000000001" customHeight="1">
      <c r="A10" s="650" t="s">
        <v>800</v>
      </c>
      <c r="B10" s="14"/>
      <c r="C10" s="30">
        <v>420977033.05999994</v>
      </c>
      <c r="D10" s="26"/>
      <c r="E10" s="26">
        <v>347116106</v>
      </c>
      <c r="F10" s="26"/>
      <c r="G10" s="344"/>
      <c r="H10" s="26"/>
      <c r="I10" s="30">
        <v>242632100.58999997</v>
      </c>
      <c r="J10" s="26"/>
      <c r="K10" s="26">
        <v>193398366.57999992</v>
      </c>
      <c r="L10" s="26"/>
      <c r="M10" s="344"/>
      <c r="N10" s="314"/>
      <c r="O10" s="277"/>
      <c r="P10" s="277"/>
      <c r="Q10" s="277"/>
      <c r="R10" s="275"/>
    </row>
    <row r="11" spans="1:18" s="27" customFormat="1" ht="20.100000000000001" customHeight="1">
      <c r="A11" s="1392" t="s">
        <v>801</v>
      </c>
      <c r="B11" s="1401"/>
      <c r="C11" s="332">
        <v>0</v>
      </c>
      <c r="D11" s="1402"/>
      <c r="E11" s="1402">
        <v>0</v>
      </c>
      <c r="F11" s="1402"/>
      <c r="G11" s="1403"/>
      <c r="H11" s="1402"/>
      <c r="I11" s="332">
        <v>0</v>
      </c>
      <c r="J11" s="1402"/>
      <c r="K11" s="1402">
        <v>0</v>
      </c>
      <c r="L11" s="1402"/>
      <c r="M11" s="1403"/>
      <c r="N11" s="314"/>
      <c r="O11" s="277"/>
      <c r="P11" s="277"/>
      <c r="Q11" s="277"/>
      <c r="R11" s="275"/>
    </row>
    <row r="12" spans="1:18" s="27" customFormat="1" ht="20.100000000000001" customHeight="1">
      <c r="A12" s="654" t="s">
        <v>334</v>
      </c>
      <c r="B12" s="14"/>
      <c r="C12" s="30">
        <f>C10-C11</f>
        <v>420977033.05999994</v>
      </c>
      <c r="D12" s="26"/>
      <c r="E12" s="26">
        <f>E10-E11</f>
        <v>347116106</v>
      </c>
      <c r="F12" s="26"/>
      <c r="G12" s="344"/>
      <c r="H12" s="26"/>
      <c r="I12" s="30">
        <f>I10-I11</f>
        <v>242632100.58999997</v>
      </c>
      <c r="J12" s="26"/>
      <c r="K12" s="26">
        <f>K10-K11</f>
        <v>193398366.57999992</v>
      </c>
      <c r="L12" s="26"/>
      <c r="M12" s="344"/>
      <c r="N12" s="314"/>
      <c r="O12" s="277"/>
      <c r="P12" s="277"/>
      <c r="Q12" s="277"/>
      <c r="R12" s="275"/>
    </row>
    <row r="13" spans="1:18" ht="20.100000000000001" customHeight="1">
      <c r="A13" s="280" t="s">
        <v>322</v>
      </c>
      <c r="B13" s="10"/>
      <c r="C13" s="25">
        <v>0</v>
      </c>
      <c r="D13" s="11"/>
      <c r="E13" s="11">
        <v>0</v>
      </c>
      <c r="F13" s="11"/>
      <c r="G13" s="343" t="e">
        <f t="shared" si="0"/>
        <v>#DIV/0!</v>
      </c>
      <c r="H13" s="11"/>
      <c r="I13" s="25">
        <v>1448935839</v>
      </c>
      <c r="J13" s="11"/>
      <c r="K13" s="11">
        <v>1329708815</v>
      </c>
      <c r="L13" s="11"/>
      <c r="M13" s="343">
        <f t="shared" ref="M13:M22" si="1">(I13-K13)/K13</f>
        <v>8.9664009635071873E-2</v>
      </c>
      <c r="N13" s="12"/>
    </row>
    <row r="14" spans="1:18" ht="20.100000000000001" customHeight="1">
      <c r="A14" s="10" t="s">
        <v>802</v>
      </c>
      <c r="B14" s="10"/>
      <c r="C14" s="25">
        <v>46750979.479999997</v>
      </c>
      <c r="D14" s="11"/>
      <c r="E14" s="11">
        <v>-3116623</v>
      </c>
      <c r="F14" s="11"/>
      <c r="G14" s="343">
        <f t="shared" si="0"/>
        <v>-16.00052443943332</v>
      </c>
      <c r="H14" s="11"/>
      <c r="I14" s="25">
        <v>102602213.47999999</v>
      </c>
      <c r="J14" s="11"/>
      <c r="K14" s="11">
        <v>9552376.6999999993</v>
      </c>
      <c r="L14" s="11"/>
      <c r="M14" s="343">
        <f t="shared" si="1"/>
        <v>9.7410141687565552</v>
      </c>
      <c r="N14" s="12"/>
    </row>
    <row r="15" spans="1:18" ht="20.100000000000001" customHeight="1">
      <c r="A15" s="643" t="s">
        <v>803</v>
      </c>
      <c r="B15" s="10"/>
      <c r="C15" s="25">
        <v>0</v>
      </c>
      <c r="D15" s="11"/>
      <c r="E15" s="11">
        <v>0</v>
      </c>
      <c r="F15" s="11"/>
      <c r="G15" s="343"/>
      <c r="H15" s="11"/>
      <c r="I15" s="25">
        <v>0</v>
      </c>
      <c r="J15" s="11"/>
      <c r="K15" s="11">
        <v>0</v>
      </c>
      <c r="L15" s="11"/>
      <c r="M15" s="343"/>
      <c r="N15" s="12"/>
    </row>
    <row r="16" spans="1:18" ht="19.5" customHeight="1">
      <c r="A16" s="10" t="s">
        <v>152</v>
      </c>
      <c r="B16" s="10"/>
      <c r="C16" s="28">
        <f>215099226.69-C14</f>
        <v>168348247.21000001</v>
      </c>
      <c r="D16" s="11"/>
      <c r="E16" s="29">
        <f>124764921-E14</f>
        <v>127881544</v>
      </c>
      <c r="F16" s="11"/>
      <c r="G16" s="343">
        <f t="shared" si="0"/>
        <v>0.31643896331123439</v>
      </c>
      <c r="H16" s="11"/>
      <c r="I16" s="28">
        <f>262483526.54-I14</f>
        <v>159881313.06</v>
      </c>
      <c r="J16" s="11"/>
      <c r="K16" s="29">
        <f>63359507.09-K14</f>
        <v>53807130.390000001</v>
      </c>
      <c r="L16" s="11"/>
      <c r="M16" s="343">
        <f t="shared" si="1"/>
        <v>1.9713778062714487</v>
      </c>
      <c r="N16" s="12"/>
      <c r="O16" s="318"/>
      <c r="Q16" s="318"/>
    </row>
    <row r="17" spans="1:18" s="27" customFormat="1" ht="19.5" customHeight="1">
      <c r="A17" s="14" t="s">
        <v>81</v>
      </c>
      <c r="B17" s="14"/>
      <c r="C17" s="30">
        <f>C9+C12+C14+C16</f>
        <v>5403455213.749999</v>
      </c>
      <c r="D17" s="26"/>
      <c r="E17" s="26">
        <f>E9+E12+E14+E16</f>
        <v>4409136961</v>
      </c>
      <c r="F17" s="26"/>
      <c r="G17" s="344">
        <f t="shared" si="0"/>
        <v>0.22551312457404044</v>
      </c>
      <c r="H17" s="26"/>
      <c r="I17" s="30">
        <f>I9+I12+I13+I14+I16</f>
        <v>6850581088.1300001</v>
      </c>
      <c r="J17" s="26"/>
      <c r="K17" s="26">
        <f>K9+K12+K14+K16+K13</f>
        <v>5633905845.6700001</v>
      </c>
      <c r="L17" s="26"/>
      <c r="M17" s="344">
        <f t="shared" si="1"/>
        <v>0.21595590622003188</v>
      </c>
      <c r="N17" s="314"/>
      <c r="O17" s="277"/>
      <c r="P17" s="277"/>
      <c r="Q17" s="277"/>
      <c r="R17" s="275"/>
    </row>
    <row r="18" spans="1:18" ht="19.5" customHeight="1">
      <c r="A18" s="10" t="s">
        <v>153</v>
      </c>
      <c r="B18" s="10"/>
      <c r="C18" s="25"/>
      <c r="D18" s="11"/>
      <c r="E18" s="11"/>
      <c r="F18" s="11"/>
      <c r="G18" s="343" t="e">
        <f t="shared" si="0"/>
        <v>#DIV/0!</v>
      </c>
      <c r="H18" s="11"/>
      <c r="I18" s="25"/>
      <c r="J18" s="11"/>
      <c r="K18" s="11"/>
      <c r="L18" s="11"/>
      <c r="M18" s="343" t="e">
        <f t="shared" si="1"/>
        <v>#DIV/0!</v>
      </c>
      <c r="N18" s="315"/>
      <c r="O18" s="318"/>
      <c r="Q18" s="318"/>
    </row>
    <row r="19" spans="1:18" ht="19.5" customHeight="1">
      <c r="A19" s="643" t="s">
        <v>805</v>
      </c>
      <c r="B19" s="10"/>
      <c r="C19" s="25">
        <v>-12666448</v>
      </c>
      <c r="D19" s="11"/>
      <c r="E19" s="11">
        <v>30000000</v>
      </c>
      <c r="F19" s="11"/>
      <c r="G19" s="343"/>
      <c r="H19" s="11"/>
      <c r="I19" s="25">
        <v>-12666448</v>
      </c>
      <c r="J19" s="11"/>
      <c r="K19" s="11">
        <v>30000000</v>
      </c>
      <c r="L19" s="31"/>
      <c r="M19" s="343"/>
      <c r="N19" s="315"/>
      <c r="O19" s="177"/>
      <c r="Q19" s="177"/>
    </row>
    <row r="20" spans="1:18" ht="19.5" customHeight="1">
      <c r="A20" s="643" t="s">
        <v>806</v>
      </c>
      <c r="B20" s="10"/>
      <c r="C20" s="25">
        <f>531497365-199</f>
        <v>531497166</v>
      </c>
      <c r="D20" s="11"/>
      <c r="E20" s="11">
        <v>430748881.597</v>
      </c>
      <c r="F20" s="11"/>
      <c r="G20" s="343"/>
      <c r="H20" s="11"/>
      <c r="I20" s="25">
        <f>C20+O20</f>
        <v>556474800.59000003</v>
      </c>
      <c r="J20" s="11"/>
      <c r="K20" s="11">
        <f>464808183.597-K19</f>
        <v>434808183.597</v>
      </c>
      <c r="L20" s="31"/>
      <c r="M20" s="343"/>
      <c r="N20" s="315"/>
      <c r="O20" s="177">
        <v>24977634.590000033</v>
      </c>
      <c r="Q20" s="177"/>
    </row>
    <row r="21" spans="1:18" ht="19.5" customHeight="1">
      <c r="A21" s="573" t="s">
        <v>818</v>
      </c>
      <c r="B21" s="10"/>
      <c r="C21" s="25">
        <v>349709374.76999998</v>
      </c>
      <c r="D21" s="11"/>
      <c r="E21" s="11">
        <v>226092161.25</v>
      </c>
      <c r="F21" s="11"/>
      <c r="G21" s="343"/>
      <c r="H21" s="11"/>
      <c r="I21" s="25">
        <v>349709374.76999998</v>
      </c>
      <c r="J21" s="11"/>
      <c r="K21" s="11">
        <v>226092161.25</v>
      </c>
      <c r="L21" s="31"/>
      <c r="M21" s="343"/>
      <c r="N21" s="315"/>
      <c r="O21" s="177"/>
      <c r="Q21" s="177"/>
    </row>
    <row r="22" spans="1:18" s="27" customFormat="1" ht="19.5" customHeight="1">
      <c r="A22" s="14" t="s">
        <v>82</v>
      </c>
      <c r="B22" s="14"/>
      <c r="C22" s="30">
        <f>C17-C20-C19-C21</f>
        <v>4534915120.9799995</v>
      </c>
      <c r="D22" s="26"/>
      <c r="E22" s="26">
        <f>E17-E20-E21-E19</f>
        <v>3722295918.1529999</v>
      </c>
      <c r="F22" s="26"/>
      <c r="G22" s="344">
        <f t="shared" si="0"/>
        <v>0.2183112844048736</v>
      </c>
      <c r="H22" s="26"/>
      <c r="I22" s="30">
        <f>I17-I19-I20-I21</f>
        <v>5957063360.7700005</v>
      </c>
      <c r="J22" s="26"/>
      <c r="K22" s="26">
        <f>K17-K20-K21-K19</f>
        <v>4943005500.823</v>
      </c>
      <c r="L22" s="26"/>
      <c r="M22" s="344">
        <f t="shared" si="1"/>
        <v>0.20515005693968213</v>
      </c>
      <c r="N22" s="316"/>
      <c r="O22" s="277"/>
      <c r="P22" s="277"/>
      <c r="Q22" s="277"/>
      <c r="R22" s="275"/>
    </row>
    <row r="23" spans="1:18" s="27" customFormat="1" ht="19.5" customHeight="1">
      <c r="A23" s="14" t="s">
        <v>83</v>
      </c>
      <c r="B23" s="14"/>
      <c r="C23" s="30"/>
      <c r="D23" s="26"/>
      <c r="E23" s="26"/>
      <c r="F23" s="26"/>
      <c r="G23" s="26"/>
      <c r="H23" s="26"/>
      <c r="I23" s="25"/>
      <c r="J23" s="26"/>
      <c r="K23" s="11"/>
      <c r="L23" s="26"/>
      <c r="M23" s="34"/>
      <c r="N23" s="316"/>
      <c r="O23" s="277"/>
      <c r="P23" s="277"/>
      <c r="Q23" s="277"/>
      <c r="R23" s="275"/>
    </row>
    <row r="24" spans="1:18" ht="19.5" customHeight="1">
      <c r="A24" s="10" t="s">
        <v>158</v>
      </c>
      <c r="B24" s="10"/>
      <c r="C24" s="25">
        <v>763559308</v>
      </c>
      <c r="D24" s="11"/>
      <c r="E24" s="11">
        <v>619099806</v>
      </c>
      <c r="F24" s="11"/>
      <c r="G24" s="343">
        <f t="shared" ref="G24:G29" si="2">(C24-E24)/E24</f>
        <v>0.23333798621800891</v>
      </c>
      <c r="H24" s="11"/>
      <c r="I24" s="25">
        <v>878162431</v>
      </c>
      <c r="J24" s="11"/>
      <c r="K24" s="11">
        <v>695124914</v>
      </c>
      <c r="L24" s="11"/>
      <c r="M24" s="343">
        <f t="shared" ref="M24:M29" si="3">(I24-K24)/K24</f>
        <v>0.26331600740180061</v>
      </c>
      <c r="N24" s="12"/>
    </row>
    <row r="25" spans="1:18" s="13" customFormat="1" ht="19.5" customHeight="1">
      <c r="A25" s="12" t="s">
        <v>154</v>
      </c>
      <c r="B25" s="12"/>
      <c r="C25" s="25">
        <v>99998080</v>
      </c>
      <c r="D25" s="11"/>
      <c r="E25" s="11">
        <v>94724006</v>
      </c>
      <c r="F25" s="11"/>
      <c r="G25" s="343">
        <f t="shared" si="2"/>
        <v>5.5678325091107317E-2</v>
      </c>
      <c r="H25" s="11"/>
      <c r="I25" s="25">
        <v>135350822</v>
      </c>
      <c r="J25" s="31"/>
      <c r="K25" s="11">
        <v>127170553</v>
      </c>
      <c r="L25" s="31"/>
      <c r="M25" s="343">
        <f t="shared" si="3"/>
        <v>6.4325182261336863E-2</v>
      </c>
      <c r="N25" s="12"/>
      <c r="O25" s="278"/>
      <c r="P25" s="278"/>
      <c r="Q25" s="278"/>
      <c r="R25" s="98"/>
    </row>
    <row r="26" spans="1:18" s="13" customFormat="1" ht="19.5" customHeight="1">
      <c r="A26" s="12" t="s">
        <v>84</v>
      </c>
      <c r="B26" s="12"/>
      <c r="C26" s="25">
        <v>7910728</v>
      </c>
      <c r="D26" s="11"/>
      <c r="E26" s="11">
        <v>6945660</v>
      </c>
      <c r="F26" s="11"/>
      <c r="G26" s="343">
        <f t="shared" si="2"/>
        <v>0.13894547098475882</v>
      </c>
      <c r="H26" s="11"/>
      <c r="I26" s="25">
        <v>14309338</v>
      </c>
      <c r="J26" s="31"/>
      <c r="K26" s="11">
        <v>12568648</v>
      </c>
      <c r="L26" s="31"/>
      <c r="M26" s="343">
        <f t="shared" si="3"/>
        <v>0.13849460976232289</v>
      </c>
      <c r="N26" s="12"/>
      <c r="O26" s="278"/>
      <c r="P26" s="278"/>
      <c r="Q26" s="278"/>
      <c r="R26" s="98"/>
    </row>
    <row r="27" spans="1:18" s="13" customFormat="1" ht="19.5" customHeight="1">
      <c r="A27" s="12" t="s">
        <v>155</v>
      </c>
      <c r="B27" s="12"/>
      <c r="C27" s="25">
        <v>0</v>
      </c>
      <c r="D27" s="11"/>
      <c r="E27" s="11">
        <v>0</v>
      </c>
      <c r="F27" s="11"/>
      <c r="G27" s="343" t="e">
        <f t="shared" si="2"/>
        <v>#DIV/0!</v>
      </c>
      <c r="H27" s="11"/>
      <c r="I27" s="25">
        <v>1075874019</v>
      </c>
      <c r="J27" s="31"/>
      <c r="K27" s="11">
        <v>992419963</v>
      </c>
      <c r="L27" s="31"/>
      <c r="M27" s="343">
        <f t="shared" si="3"/>
        <v>8.409147247272776E-2</v>
      </c>
      <c r="N27" s="12"/>
      <c r="O27" s="278"/>
      <c r="P27" s="278"/>
      <c r="Q27" s="278"/>
      <c r="R27" s="98"/>
    </row>
    <row r="28" spans="1:18" ht="19.5" customHeight="1">
      <c r="A28" s="10" t="s">
        <v>85</v>
      </c>
      <c r="B28" s="10"/>
      <c r="C28" s="28">
        <v>1048312247.9999999</v>
      </c>
      <c r="D28" s="11"/>
      <c r="E28" s="29">
        <v>884981639</v>
      </c>
      <c r="F28" s="11"/>
      <c r="G28" s="343">
        <f t="shared" si="2"/>
        <v>0.18455818946092267</v>
      </c>
      <c r="H28" s="11"/>
      <c r="I28" s="28">
        <v>1036645901.9999999</v>
      </c>
      <c r="J28" s="11"/>
      <c r="K28" s="29">
        <v>832838766.00000012</v>
      </c>
      <c r="L28" s="11"/>
      <c r="M28" s="343">
        <f t="shared" si="3"/>
        <v>0.24471379613950359</v>
      </c>
      <c r="N28" s="12"/>
      <c r="O28" s="318"/>
      <c r="Q28" s="318"/>
    </row>
    <row r="29" spans="1:18" ht="19.5" customHeight="1">
      <c r="A29" s="10" t="s">
        <v>86</v>
      </c>
      <c r="B29" s="10"/>
      <c r="C29" s="28">
        <f>SUM(C24:C28)</f>
        <v>1919780364</v>
      </c>
      <c r="D29" s="11"/>
      <c r="E29" s="29">
        <f t="shared" ref="E29" si="4">SUM(E24:E28)</f>
        <v>1605751111</v>
      </c>
      <c r="F29" s="11"/>
      <c r="G29" s="343">
        <f t="shared" si="2"/>
        <v>0.19556533440878934</v>
      </c>
      <c r="H29" s="11"/>
      <c r="I29" s="28">
        <f>SUM(I24:I28)</f>
        <v>3140342512</v>
      </c>
      <c r="J29" s="11"/>
      <c r="K29" s="29">
        <f t="shared" ref="K29" si="5">SUM(K24:K28)</f>
        <v>2660122844</v>
      </c>
      <c r="L29" s="11"/>
      <c r="M29" s="343">
        <f t="shared" si="3"/>
        <v>0.18052537275981531</v>
      </c>
      <c r="N29" s="12"/>
      <c r="O29" s="318"/>
      <c r="Q29" s="318"/>
    </row>
    <row r="30" spans="1:18" ht="19.5" customHeight="1">
      <c r="A30" s="10"/>
      <c r="B30" s="10"/>
      <c r="C30" s="25"/>
      <c r="D30" s="11"/>
      <c r="E30" s="11"/>
      <c r="F30" s="11"/>
      <c r="G30" s="11"/>
      <c r="H30" s="11"/>
      <c r="I30" s="25">
        <f t="shared" ref="I30" si="6">C30-O30</f>
        <v>0</v>
      </c>
      <c r="J30" s="11"/>
      <c r="K30" s="11">
        <f t="shared" ref="K30" si="7">E30-Q30</f>
        <v>0</v>
      </c>
      <c r="L30" s="11"/>
      <c r="M30" s="10"/>
      <c r="N30" s="12"/>
    </row>
    <row r="31" spans="1:18" s="27" customFormat="1" ht="19.5" customHeight="1">
      <c r="A31" s="14" t="s">
        <v>87</v>
      </c>
      <c r="B31" s="14"/>
      <c r="C31" s="30">
        <f>C22-C29</f>
        <v>2615134756.9799995</v>
      </c>
      <c r="D31" s="26"/>
      <c r="E31" s="26">
        <f t="shared" ref="E31" si="8">E22-E29</f>
        <v>2116544807.1529999</v>
      </c>
      <c r="F31" s="26"/>
      <c r="G31" s="344">
        <f>(C31-E31)/E31</f>
        <v>0.23556786898249577</v>
      </c>
      <c r="H31" s="26"/>
      <c r="I31" s="30">
        <f>I22-I29</f>
        <v>2816720848.7700005</v>
      </c>
      <c r="J31" s="26"/>
      <c r="K31" s="26">
        <f t="shared" ref="K31" si="9">K22-K29</f>
        <v>2282882656.823</v>
      </c>
      <c r="L31" s="26"/>
      <c r="M31" s="344">
        <f t="shared" ref="M31:M33" si="10">(I31-K31)/K31</f>
        <v>0.23384390360647034</v>
      </c>
      <c r="N31" s="314"/>
      <c r="O31" s="277"/>
      <c r="P31" s="277"/>
      <c r="Q31" s="277"/>
      <c r="R31" s="275"/>
    </row>
    <row r="32" spans="1:18" ht="19.5" customHeight="1">
      <c r="A32" s="10" t="s">
        <v>88</v>
      </c>
      <c r="B32" s="10"/>
      <c r="C32" s="28">
        <v>167200000</v>
      </c>
      <c r="D32" s="11"/>
      <c r="E32" s="29">
        <v>134149851</v>
      </c>
      <c r="F32" s="11"/>
      <c r="G32" s="343">
        <f>(C32-E32)/E32</f>
        <v>0.24636739253627646</v>
      </c>
      <c r="H32" s="11"/>
      <c r="I32" s="28">
        <v>169700000</v>
      </c>
      <c r="J32" s="11"/>
      <c r="K32" s="29">
        <v>138312664</v>
      </c>
      <c r="L32" s="11"/>
      <c r="M32" s="343">
        <f t="shared" si="10"/>
        <v>0.22693031203563543</v>
      </c>
      <c r="N32" s="12"/>
      <c r="O32" s="318"/>
      <c r="Q32" s="318"/>
    </row>
    <row r="33" spans="1:18" s="27" customFormat="1" ht="19.5" customHeight="1">
      <c r="A33" s="14" t="s">
        <v>89</v>
      </c>
      <c r="B33" s="14"/>
      <c r="C33" s="30">
        <f>C31-C32</f>
        <v>2447934756.9799995</v>
      </c>
      <c r="D33" s="26"/>
      <c r="E33" s="26">
        <f t="shared" ref="E33" si="11">E31-E32</f>
        <v>1982394956.1529999</v>
      </c>
      <c r="F33" s="26"/>
      <c r="G33" s="344">
        <f>(C33-E33)/E33</f>
        <v>0.23483705877178879</v>
      </c>
      <c r="H33" s="26"/>
      <c r="I33" s="30">
        <f>I31-I32</f>
        <v>2647020848.7700005</v>
      </c>
      <c r="J33" s="26"/>
      <c r="K33" s="26">
        <f t="shared" ref="K33" si="12">K31-K32</f>
        <v>2144569992.823</v>
      </c>
      <c r="L33" s="26"/>
      <c r="M33" s="344">
        <f t="shared" si="10"/>
        <v>0.23428979125349061</v>
      </c>
      <c r="N33" s="314"/>
      <c r="O33" s="277"/>
      <c r="P33" s="277"/>
      <c r="Q33" s="277"/>
      <c r="R33" s="275"/>
    </row>
    <row r="34" spans="1:18" s="27" customFormat="1" ht="19.5" customHeight="1">
      <c r="A34" s="14"/>
      <c r="B34" s="14"/>
      <c r="C34" s="30"/>
      <c r="D34" s="26"/>
      <c r="E34" s="26"/>
      <c r="F34" s="26"/>
      <c r="G34" s="26"/>
      <c r="H34" s="26"/>
      <c r="I34" s="25"/>
      <c r="J34" s="26"/>
      <c r="K34" s="11"/>
      <c r="L34" s="26"/>
      <c r="M34" s="14"/>
      <c r="N34" s="314"/>
      <c r="O34" s="277"/>
      <c r="P34" s="277"/>
      <c r="Q34" s="277"/>
      <c r="R34" s="275"/>
    </row>
    <row r="35" spans="1:18" ht="19.5" customHeight="1">
      <c r="A35" s="10" t="s">
        <v>90</v>
      </c>
      <c r="B35" s="10"/>
      <c r="C35" s="25">
        <v>700945895</v>
      </c>
      <c r="D35" s="11"/>
      <c r="E35" s="11">
        <v>578041500</v>
      </c>
      <c r="F35" s="11"/>
      <c r="G35" s="343">
        <f>(C35-E35)/E35</f>
        <v>0.21262209547238389</v>
      </c>
      <c r="H35" s="11"/>
      <c r="I35" s="25">
        <v>773455249</v>
      </c>
      <c r="J35" s="11"/>
      <c r="K35" s="11">
        <v>677557949</v>
      </c>
      <c r="L35" s="11"/>
      <c r="M35" s="343">
        <f t="shared" ref="M35:M36" si="13">(I35-K35)/K35</f>
        <v>0.14153372437226031</v>
      </c>
      <c r="N35" s="12"/>
    </row>
    <row r="36" spans="1:18" s="27" customFormat="1" ht="19.5" customHeight="1" thickBot="1">
      <c r="A36" s="14" t="s">
        <v>149</v>
      </c>
      <c r="B36" s="14"/>
      <c r="C36" s="36">
        <f>C33-C35</f>
        <v>1746988861.9799995</v>
      </c>
      <c r="D36" s="26"/>
      <c r="E36" s="37">
        <f t="shared" ref="E36" si="14">E33-E35</f>
        <v>1404353456.1529999</v>
      </c>
      <c r="F36" s="26"/>
      <c r="G36" s="344">
        <f>(C36-E36)/E36</f>
        <v>0.24398088980077293</v>
      </c>
      <c r="H36" s="26"/>
      <c r="I36" s="36">
        <f>I33-I35</f>
        <v>1873565599.7700005</v>
      </c>
      <c r="J36" s="26"/>
      <c r="K36" s="37">
        <f t="shared" ref="K36" si="15">K33-K35</f>
        <v>1467012043.823</v>
      </c>
      <c r="L36" s="26"/>
      <c r="M36" s="344">
        <f t="shared" si="13"/>
        <v>0.27713034644728013</v>
      </c>
      <c r="N36" s="314"/>
      <c r="O36" s="319"/>
      <c r="P36" s="277"/>
      <c r="Q36" s="319"/>
      <c r="R36" s="275"/>
    </row>
    <row r="37" spans="1:18" ht="19.5" customHeight="1" thickTop="1">
      <c r="A37" s="10"/>
      <c r="B37" s="10"/>
      <c r="C37" s="25"/>
      <c r="D37" s="11"/>
      <c r="E37" s="31"/>
      <c r="F37" s="31"/>
      <c r="G37" s="31"/>
      <c r="H37" s="31"/>
      <c r="I37" s="25"/>
      <c r="J37" s="11"/>
      <c r="K37" s="11"/>
      <c r="L37" s="11"/>
      <c r="M37" s="10"/>
      <c r="N37" s="12"/>
    </row>
    <row r="38" spans="1:18" ht="19.5" customHeight="1">
      <c r="A38" s="14" t="s">
        <v>357</v>
      </c>
      <c r="B38" s="10"/>
      <c r="C38" s="25"/>
      <c r="D38" s="11"/>
      <c r="E38" s="11"/>
      <c r="F38" s="11"/>
      <c r="G38" s="11"/>
      <c r="H38" s="11"/>
      <c r="I38" s="25"/>
      <c r="J38" s="11"/>
      <c r="K38" s="11"/>
      <c r="L38" s="11"/>
      <c r="M38" s="12"/>
      <c r="N38" s="12"/>
    </row>
    <row r="39" spans="1:18" ht="19.5" customHeight="1">
      <c r="A39" s="10" t="s">
        <v>402</v>
      </c>
      <c r="B39" s="10"/>
      <c r="C39" s="39">
        <f>C36/(1560000160+19862322)</f>
        <v>1.105785397073566</v>
      </c>
      <c r="D39" s="40"/>
      <c r="E39" s="40">
        <v>0.88868494314937474</v>
      </c>
      <c r="F39" s="40"/>
      <c r="G39" s="343">
        <f>(C39-E39)/E39</f>
        <v>0.24429406123931588</v>
      </c>
      <c r="H39" s="40"/>
      <c r="I39" s="39">
        <f t="shared" ref="I39:L39" si="16">I36/(1560000160+19862322)</f>
        <v>1.1859042297138369</v>
      </c>
      <c r="J39" s="40"/>
      <c r="K39" s="40">
        <f t="shared" si="16"/>
        <v>0.92856945496032095</v>
      </c>
      <c r="L39" s="40">
        <f t="shared" si="16"/>
        <v>0</v>
      </c>
      <c r="M39" s="343">
        <f>(I39-K39)/K39</f>
        <v>0.2771303464472803</v>
      </c>
      <c r="N39" s="40"/>
    </row>
    <row r="40" spans="1:18" s="41" customFormat="1" ht="19.5" customHeight="1">
      <c r="C40" s="42"/>
      <c r="D40" s="323"/>
      <c r="E40" s="317"/>
      <c r="F40" s="317"/>
      <c r="G40" s="317"/>
      <c r="I40" s="43"/>
      <c r="J40" s="324"/>
      <c r="K40" s="43"/>
      <c r="L40" s="43"/>
      <c r="M40" s="317"/>
      <c r="N40" s="317"/>
      <c r="O40" s="279"/>
      <c r="P40" s="279"/>
      <c r="Q40" s="279"/>
      <c r="R40" s="410"/>
    </row>
    <row r="41" spans="1:18" ht="19.5" customHeight="1">
      <c r="A41" s="9" t="s">
        <v>146</v>
      </c>
      <c r="C41" s="44"/>
      <c r="D41" s="328"/>
      <c r="E41" s="329"/>
      <c r="F41" s="329"/>
      <c r="G41" s="329"/>
      <c r="H41" s="44"/>
      <c r="I41" s="45"/>
      <c r="K41" s="45"/>
      <c r="L41" s="45"/>
      <c r="M41" s="13"/>
    </row>
    <row r="42" spans="1:18" ht="19.5" customHeight="1">
      <c r="A42" s="345" t="s">
        <v>147</v>
      </c>
      <c r="K42" s="45"/>
      <c r="L42" s="45"/>
    </row>
    <row r="43" spans="1:18">
      <c r="A43" s="47"/>
      <c r="B43" s="10"/>
      <c r="C43" s="11"/>
      <c r="E43" s="32"/>
      <c r="F43" s="32"/>
      <c r="G43" s="32"/>
      <c r="H43" s="33"/>
      <c r="I43" s="45"/>
    </row>
    <row r="44" spans="1:18">
      <c r="A44" s="10"/>
      <c r="B44" s="10"/>
      <c r="C44" s="320"/>
      <c r="D44" s="322"/>
      <c r="E44" s="48"/>
      <c r="F44" s="48"/>
      <c r="G44" s="48"/>
      <c r="H44" s="48"/>
      <c r="I44" s="45"/>
      <c r="J44" s="45"/>
      <c r="K44" s="45"/>
      <c r="L44" s="45"/>
    </row>
    <row r="45" spans="1:18">
      <c r="A45" s="10"/>
      <c r="B45" s="10"/>
      <c r="C45" s="11"/>
      <c r="E45" s="49"/>
      <c r="F45" s="49"/>
      <c r="G45" s="49"/>
      <c r="H45" s="49"/>
      <c r="K45" s="45"/>
      <c r="L45" s="45"/>
    </row>
    <row r="46" spans="1:18">
      <c r="A46" s="10"/>
      <c r="B46" s="10"/>
      <c r="C46" s="48"/>
      <c r="D46" s="48"/>
      <c r="E46" s="48"/>
      <c r="F46" s="48"/>
      <c r="G46" s="48"/>
      <c r="H46" s="48"/>
    </row>
    <row r="47" spans="1:18">
      <c r="A47" s="10"/>
      <c r="B47" s="49"/>
      <c r="C47" s="49"/>
      <c r="D47" s="49"/>
      <c r="E47" s="49"/>
      <c r="F47" s="49"/>
      <c r="G47" s="49"/>
      <c r="H47" s="49"/>
      <c r="I47" s="46"/>
      <c r="J47" s="11"/>
      <c r="K47" s="46"/>
      <c r="L47" s="46"/>
    </row>
    <row r="48" spans="1:18">
      <c r="A48" s="10"/>
      <c r="B48" s="10"/>
      <c r="C48" s="47"/>
      <c r="D48" s="38"/>
      <c r="E48" s="50"/>
      <c r="F48" s="50"/>
      <c r="G48" s="50"/>
      <c r="H48" s="50"/>
      <c r="I48" s="46"/>
      <c r="J48" s="11"/>
      <c r="K48" s="46"/>
      <c r="L48" s="46"/>
    </row>
    <row r="49" spans="1:12">
      <c r="A49" s="10"/>
      <c r="B49" s="10"/>
      <c r="C49" s="11"/>
      <c r="D49" s="11"/>
      <c r="E49" s="11"/>
      <c r="F49" s="11"/>
      <c r="G49" s="11"/>
      <c r="H49" s="46"/>
      <c r="I49" s="46"/>
      <c r="J49" s="46"/>
      <c r="K49" s="46"/>
      <c r="L49" s="46"/>
    </row>
    <row r="50" spans="1:12">
      <c r="A50" s="10"/>
      <c r="B50" s="10"/>
      <c r="C50" s="11"/>
      <c r="E50" s="10"/>
      <c r="F50" s="10"/>
      <c r="G50" s="10"/>
    </row>
  </sheetData>
  <mergeCells count="3">
    <mergeCell ref="A1:M1"/>
    <mergeCell ref="C3:G3"/>
    <mergeCell ref="I3:M3"/>
  </mergeCells>
  <pageMargins left="0.44" right="0.24" top="0.75" bottom="0.75" header="0.3" footer="0.3"/>
  <pageSetup paperSize="9" scale="68" orientation="portrait" r:id="rId1"/>
</worksheet>
</file>

<file path=xl/worksheets/sheet29.xml><?xml version="1.0" encoding="utf-8"?>
<worksheet xmlns="http://schemas.openxmlformats.org/spreadsheetml/2006/main" xmlns:r="http://schemas.openxmlformats.org/officeDocument/2006/relationships">
  <sheetPr>
    <tabColor rgb="FF00B050"/>
    <pageSetUpPr fitToPage="1"/>
  </sheetPr>
  <dimension ref="A1:R42"/>
  <sheetViews>
    <sheetView view="pageBreakPreview" zoomScale="80" zoomScaleSheetLayoutView="80" workbookViewId="0">
      <pane xSplit="2" ySplit="4" topLeftCell="C5" activePane="bottomRight" state="frozen"/>
      <selection activeCell="I10" sqref="I10"/>
      <selection pane="topRight" activeCell="I10" sqref="I10"/>
      <selection pane="bottomLeft" activeCell="I10" sqref="I10"/>
      <selection pane="bottomRight" activeCell="I10" sqref="I10"/>
    </sheetView>
  </sheetViews>
  <sheetFormatPr defaultColWidth="9.140625" defaultRowHeight="15.75"/>
  <cols>
    <col min="1" max="1" width="47.140625" style="9" customWidth="1"/>
    <col min="2" max="2" width="3.28515625" style="9" customWidth="1"/>
    <col min="3" max="3" width="16.42578125" style="46" customWidth="1"/>
    <col min="4" max="4" width="0.85546875" style="10" customWidth="1"/>
    <col min="5" max="5" width="16.42578125" style="9" customWidth="1"/>
    <col min="6" max="6" width="0.85546875" style="9" customWidth="1"/>
    <col min="7" max="7" width="10.7109375" style="9" customWidth="1"/>
    <col min="8" max="8" width="0.85546875" style="9" customWidth="1"/>
    <col min="9" max="9" width="17.7109375" style="13" bestFit="1" customWidth="1"/>
    <col min="10" max="10" width="0.85546875" style="12" customWidth="1"/>
    <col min="11" max="11" width="17.7109375" style="13" bestFit="1" customWidth="1"/>
    <col min="12" max="12" width="0.85546875" style="13" customWidth="1"/>
    <col min="13" max="13" width="10.7109375" style="9" customWidth="1"/>
    <col min="14" max="14" width="3" style="13" customWidth="1"/>
    <col min="15" max="15" width="20.140625" style="276" bestFit="1" customWidth="1"/>
    <col min="16" max="16" width="9.140625" style="276"/>
    <col min="17" max="17" width="20.140625" style="276" bestFit="1" customWidth="1"/>
    <col min="18" max="18" width="14.5703125" style="237" bestFit="1" customWidth="1"/>
    <col min="19" max="16384" width="9.140625" style="9"/>
  </cols>
  <sheetData>
    <row r="1" spans="1:18">
      <c r="A1" s="1782" t="s">
        <v>350</v>
      </c>
      <c r="B1" s="1783"/>
      <c r="C1" s="1783"/>
      <c r="D1" s="1783"/>
      <c r="E1" s="1783"/>
      <c r="F1" s="1783"/>
      <c r="G1" s="1783"/>
      <c r="H1" s="1783"/>
      <c r="I1" s="1783"/>
      <c r="J1" s="1783"/>
      <c r="K1" s="1783"/>
      <c r="L1" s="1783"/>
      <c r="M1" s="1783"/>
      <c r="N1" s="313"/>
    </row>
    <row r="2" spans="1:18" ht="14.25" customHeight="1">
      <c r="A2" s="10"/>
      <c r="B2" s="10"/>
      <c r="C2" s="11"/>
      <c r="E2" s="10"/>
      <c r="F2" s="10"/>
      <c r="G2" s="10"/>
      <c r="H2" s="10"/>
      <c r="I2" s="12"/>
    </row>
    <row r="3" spans="1:18" ht="16.5" thickBot="1">
      <c r="A3" s="14"/>
      <c r="B3" s="14"/>
      <c r="C3" s="1784" t="s">
        <v>407</v>
      </c>
      <c r="D3" s="1784"/>
      <c r="E3" s="1784"/>
      <c r="F3" s="1784"/>
      <c r="G3" s="1784"/>
      <c r="H3" s="15"/>
      <c r="I3" s="1785" t="s">
        <v>351</v>
      </c>
      <c r="J3" s="1785" t="s">
        <v>78</v>
      </c>
      <c r="K3" s="1785"/>
      <c r="L3" s="16"/>
      <c r="M3" s="17"/>
      <c r="N3" s="12"/>
    </row>
    <row r="4" spans="1:18">
      <c r="A4" s="14"/>
      <c r="B4" s="14"/>
      <c r="C4" s="18" t="s">
        <v>475</v>
      </c>
      <c r="D4" s="19"/>
      <c r="E4" s="20" t="s">
        <v>496</v>
      </c>
      <c r="F4" s="20"/>
      <c r="G4" s="20" t="s">
        <v>151</v>
      </c>
      <c r="H4" s="20"/>
      <c r="I4" s="18" t="str">
        <f>C4</f>
        <v>30.06.2014</v>
      </c>
      <c r="J4" s="19"/>
      <c r="K4" s="20" t="str">
        <f>E4</f>
        <v>30.06.2013</v>
      </c>
      <c r="L4" s="20"/>
      <c r="M4" s="20" t="s">
        <v>151</v>
      </c>
      <c r="N4" s="20"/>
      <c r="O4" s="20" t="s">
        <v>429</v>
      </c>
      <c r="P4" s="277"/>
      <c r="Q4" s="312" t="s">
        <v>53</v>
      </c>
    </row>
    <row r="5" spans="1:18">
      <c r="A5" s="14"/>
      <c r="B5" s="14"/>
      <c r="C5" s="18" t="s">
        <v>19</v>
      </c>
      <c r="D5" s="19"/>
      <c r="E5" s="20" t="s">
        <v>19</v>
      </c>
      <c r="F5" s="20"/>
      <c r="G5" s="20" t="s">
        <v>28</v>
      </c>
      <c r="H5" s="20"/>
      <c r="I5" s="18" t="s">
        <v>19</v>
      </c>
      <c r="J5" s="20"/>
      <c r="K5" s="20" t="s">
        <v>19</v>
      </c>
      <c r="L5" s="20"/>
      <c r="M5" s="20" t="s">
        <v>28</v>
      </c>
      <c r="N5" s="20"/>
      <c r="O5" s="20" t="s">
        <v>19</v>
      </c>
      <c r="Q5" s="20" t="s">
        <v>19</v>
      </c>
    </row>
    <row r="6" spans="1:18" ht="16.5" thickBot="1">
      <c r="A6" s="21"/>
      <c r="B6" s="21"/>
      <c r="C6" s="22" t="e">
        <f>#REF!</f>
        <v>#REF!</v>
      </c>
      <c r="D6" s="19"/>
      <c r="E6" s="23" t="s">
        <v>451</v>
      </c>
      <c r="F6" s="23"/>
      <c r="G6" s="23"/>
      <c r="H6" s="51"/>
      <c r="I6" s="22" t="e">
        <f>#REF!</f>
        <v>#REF!</v>
      </c>
      <c r="J6" s="24"/>
      <c r="K6" s="23" t="e">
        <f>#REF!</f>
        <v>#REF!</v>
      </c>
      <c r="L6" s="23"/>
      <c r="M6" s="17"/>
      <c r="N6" s="12"/>
      <c r="O6" s="23" t="s">
        <v>148</v>
      </c>
      <c r="Q6" s="23" t="s">
        <v>451</v>
      </c>
    </row>
    <row r="7" spans="1:18" ht="20.100000000000001" customHeight="1">
      <c r="A7" s="10" t="s">
        <v>79</v>
      </c>
      <c r="B7" s="10"/>
      <c r="C7" s="25"/>
      <c r="D7" s="11"/>
      <c r="E7" s="11"/>
      <c r="F7" s="11"/>
      <c r="G7" s="343" t="e">
        <f t="shared" ref="G7:G14" si="0">(C7-E7)/E7</f>
        <v>#DIV/0!</v>
      </c>
      <c r="H7" s="11"/>
      <c r="I7" s="25">
        <f t="shared" ref="I7:I14" si="1">C7-O7</f>
        <v>-19533601797</v>
      </c>
      <c r="J7" s="11"/>
      <c r="K7" s="11">
        <f t="shared" ref="K7:K14" si="2">E7-Q7</f>
        <v>-17244929601</v>
      </c>
      <c r="L7" s="11"/>
      <c r="M7" s="343">
        <f>(I7-K7)/K7</f>
        <v>0.13271565897649615</v>
      </c>
      <c r="N7" s="12"/>
      <c r="O7" s="276">
        <v>19533601797</v>
      </c>
      <c r="Q7" s="276">
        <v>17244929601</v>
      </c>
    </row>
    <row r="8" spans="1:18" ht="20.100000000000001" customHeight="1">
      <c r="A8" s="10" t="s">
        <v>333</v>
      </c>
      <c r="B8" s="10"/>
      <c r="C8" s="28"/>
      <c r="D8" s="11"/>
      <c r="E8" s="29"/>
      <c r="F8" s="11"/>
      <c r="G8" s="343" t="e">
        <f t="shared" si="0"/>
        <v>#DIV/0!</v>
      </c>
      <c r="H8" s="11"/>
      <c r="I8" s="28">
        <f t="shared" si="1"/>
        <v>-11265956630</v>
      </c>
      <c r="J8" s="11"/>
      <c r="K8" s="29">
        <f t="shared" si="2"/>
        <v>-10140339740</v>
      </c>
      <c r="L8" s="11"/>
      <c r="M8" s="343">
        <f>(I8-K8)/K8</f>
        <v>0.11100386366344762</v>
      </c>
      <c r="N8" s="12"/>
      <c r="O8" s="318">
        <v>11265956630</v>
      </c>
      <c r="Q8" s="318">
        <v>10140339740</v>
      </c>
    </row>
    <row r="9" spans="1:18" s="27" customFormat="1" ht="20.100000000000001" customHeight="1">
      <c r="A9" s="14" t="s">
        <v>80</v>
      </c>
      <c r="B9" s="14"/>
      <c r="C9" s="30">
        <f>C7-C8</f>
        <v>0</v>
      </c>
      <c r="D9" s="26"/>
      <c r="E9" s="26">
        <f>E7-E8</f>
        <v>0</v>
      </c>
      <c r="F9" s="26"/>
      <c r="G9" s="344" t="e">
        <f t="shared" si="0"/>
        <v>#DIV/0!</v>
      </c>
      <c r="H9" s="26"/>
      <c r="I9" s="30">
        <f t="shared" si="1"/>
        <v>-8267645167</v>
      </c>
      <c r="J9" s="26"/>
      <c r="K9" s="26">
        <f t="shared" si="2"/>
        <v>-7104589861</v>
      </c>
      <c r="L9" s="26"/>
      <c r="M9" s="344">
        <f>(I9-K9)/K9</f>
        <v>0.16370477800337024</v>
      </c>
      <c r="N9" s="314"/>
      <c r="O9" s="277">
        <v>8267645167</v>
      </c>
      <c r="P9" s="277"/>
      <c r="Q9" s="277">
        <v>7104589861</v>
      </c>
      <c r="R9" s="275"/>
    </row>
    <row r="10" spans="1:18" ht="20.100000000000001" customHeight="1">
      <c r="A10" s="10" t="s">
        <v>196</v>
      </c>
      <c r="B10" s="10"/>
      <c r="C10" s="25"/>
      <c r="D10" s="11"/>
      <c r="E10" s="11"/>
      <c r="F10" s="11"/>
      <c r="G10" s="343" t="e">
        <f t="shared" si="0"/>
        <v>#DIV/0!</v>
      </c>
      <c r="H10" s="11"/>
      <c r="I10" s="25">
        <f t="shared" si="1"/>
        <v>-853612900</v>
      </c>
      <c r="J10" s="11"/>
      <c r="K10" s="11">
        <f t="shared" si="2"/>
        <v>-731470817.20000005</v>
      </c>
      <c r="L10" s="11"/>
      <c r="M10" s="343">
        <f t="shared" ref="M10:M14" si="3">(I10-K10)/K10</f>
        <v>0.1669814843298166</v>
      </c>
      <c r="N10" s="12"/>
      <c r="O10" s="276">
        <v>853612900</v>
      </c>
      <c r="Q10" s="276">
        <v>731470817.20000005</v>
      </c>
    </row>
    <row r="11" spans="1:18" ht="19.5" customHeight="1">
      <c r="A11" s="10" t="s">
        <v>152</v>
      </c>
      <c r="B11" s="10"/>
      <c r="C11" s="28"/>
      <c r="D11" s="11"/>
      <c r="E11" s="29"/>
      <c r="F11" s="11"/>
      <c r="G11" s="343" t="e">
        <f t="shared" si="0"/>
        <v>#DIV/0!</v>
      </c>
      <c r="H11" s="11"/>
      <c r="I11" s="28">
        <f t="shared" si="1"/>
        <v>-240576940</v>
      </c>
      <c r="J11" s="11"/>
      <c r="K11" s="29">
        <f t="shared" si="2"/>
        <v>-228404668.80000001</v>
      </c>
      <c r="L11" s="11"/>
      <c r="M11" s="343">
        <f t="shared" si="3"/>
        <v>5.3292567371547472E-2</v>
      </c>
      <c r="N11" s="12"/>
      <c r="O11" s="318">
        <v>240576940</v>
      </c>
      <c r="Q11" s="318">
        <v>228404668.80000001</v>
      </c>
      <c r="R11" s="237">
        <v>7628858</v>
      </c>
    </row>
    <row r="12" spans="1:18" s="27" customFormat="1" ht="19.5" customHeight="1">
      <c r="A12" s="14" t="s">
        <v>81</v>
      </c>
      <c r="B12" s="14"/>
      <c r="C12" s="30">
        <f>SUM(C9:C11)</f>
        <v>0</v>
      </c>
      <c r="D12" s="26"/>
      <c r="E12" s="26">
        <f>SUM(E9:E11)</f>
        <v>0</v>
      </c>
      <c r="F12" s="26"/>
      <c r="G12" s="344" t="e">
        <f t="shared" si="0"/>
        <v>#DIV/0!</v>
      </c>
      <c r="H12" s="26"/>
      <c r="I12" s="30">
        <f t="shared" si="1"/>
        <v>-9361835007</v>
      </c>
      <c r="J12" s="26"/>
      <c r="K12" s="26">
        <f t="shared" si="2"/>
        <v>-8064465347</v>
      </c>
      <c r="L12" s="26"/>
      <c r="M12" s="344">
        <f t="shared" si="3"/>
        <v>0.1608748508644314</v>
      </c>
      <c r="N12" s="314"/>
      <c r="O12" s="277">
        <v>9361835007</v>
      </c>
      <c r="P12" s="277"/>
      <c r="Q12" s="277">
        <v>8064465347</v>
      </c>
      <c r="R12" s="275"/>
    </row>
    <row r="13" spans="1:18" ht="19.5" customHeight="1">
      <c r="A13" s="10" t="s">
        <v>153</v>
      </c>
      <c r="B13" s="10"/>
      <c r="C13" s="28"/>
      <c r="D13" s="11"/>
      <c r="E13" s="29"/>
      <c r="F13" s="11"/>
      <c r="G13" s="343" t="e">
        <f t="shared" si="0"/>
        <v>#DIV/0!</v>
      </c>
      <c r="H13" s="11"/>
      <c r="I13" s="28">
        <f t="shared" si="1"/>
        <v>-1217745905</v>
      </c>
      <c r="J13" s="11"/>
      <c r="K13" s="29">
        <f t="shared" si="2"/>
        <v>-697637182</v>
      </c>
      <c r="L13" s="31"/>
      <c r="M13" s="343">
        <f t="shared" si="3"/>
        <v>0.74552896035291882</v>
      </c>
      <c r="N13" s="315"/>
      <c r="O13" s="318">
        <v>1217745905</v>
      </c>
      <c r="Q13" s="318">
        <v>697637182</v>
      </c>
    </row>
    <row r="14" spans="1:18" s="27" customFormat="1" ht="19.5" customHeight="1">
      <c r="A14" s="14" t="s">
        <v>82</v>
      </c>
      <c r="B14" s="14"/>
      <c r="C14" s="30">
        <f>C12-C13</f>
        <v>0</v>
      </c>
      <c r="D14" s="26"/>
      <c r="E14" s="26">
        <f t="shared" ref="E14" si="4">E12-E13</f>
        <v>0</v>
      </c>
      <c r="F14" s="26"/>
      <c r="G14" s="344" t="e">
        <f t="shared" si="0"/>
        <v>#DIV/0!</v>
      </c>
      <c r="H14" s="26"/>
      <c r="I14" s="30">
        <f t="shared" si="1"/>
        <v>-8144089102</v>
      </c>
      <c r="J14" s="26"/>
      <c r="K14" s="26">
        <f t="shared" si="2"/>
        <v>-7366828165</v>
      </c>
      <c r="L14" s="26"/>
      <c r="M14" s="344">
        <f t="shared" si="3"/>
        <v>0.10550822139340615</v>
      </c>
      <c r="N14" s="316"/>
      <c r="O14" s="277">
        <v>8144089102</v>
      </c>
      <c r="P14" s="277"/>
      <c r="Q14" s="277">
        <v>7366828165</v>
      </c>
      <c r="R14" s="275"/>
    </row>
    <row r="15" spans="1:18" s="27" customFormat="1" ht="19.5" customHeight="1">
      <c r="A15" s="14" t="s">
        <v>83</v>
      </c>
      <c r="B15" s="14"/>
      <c r="C15" s="30"/>
      <c r="D15" s="26"/>
      <c r="E15" s="26"/>
      <c r="F15" s="26"/>
      <c r="G15" s="26"/>
      <c r="H15" s="26"/>
      <c r="I15" s="25"/>
      <c r="J15" s="26"/>
      <c r="K15" s="11"/>
      <c r="L15" s="26"/>
      <c r="M15" s="34"/>
      <c r="N15" s="316"/>
      <c r="O15" s="277"/>
      <c r="P15" s="277"/>
      <c r="Q15" s="277"/>
      <c r="R15" s="275"/>
    </row>
    <row r="16" spans="1:18" ht="19.5" customHeight="1">
      <c r="A16" s="10" t="s">
        <v>158</v>
      </c>
      <c r="B16" s="10"/>
      <c r="C16" s="25"/>
      <c r="D16" s="11"/>
      <c r="E16" s="11"/>
      <c r="F16" s="11"/>
      <c r="G16" s="343" t="e">
        <f t="shared" ref="G16:G21" si="5">(C16-E16)/E16</f>
        <v>#DIV/0!</v>
      </c>
      <c r="H16" s="11"/>
      <c r="I16" s="25">
        <f t="shared" ref="I16:I25" si="6">C16-O16</f>
        <v>-1338049437</v>
      </c>
      <c r="J16" s="11"/>
      <c r="K16" s="11">
        <f t="shared" ref="K16:K25" si="7">E16-Q16</f>
        <v>-1026157118</v>
      </c>
      <c r="L16" s="11"/>
      <c r="M16" s="343">
        <f t="shared" ref="M16:M21" si="8">(I16-K16)/K16</f>
        <v>0.30394207039939863</v>
      </c>
      <c r="N16" s="12"/>
      <c r="O16" s="276">
        <v>1338049437</v>
      </c>
      <c r="Q16" s="276">
        <v>1026157118</v>
      </c>
    </row>
    <row r="17" spans="1:18" s="13" customFormat="1" ht="19.5" customHeight="1">
      <c r="A17" s="12" t="s">
        <v>154</v>
      </c>
      <c r="B17" s="12"/>
      <c r="C17" s="25"/>
      <c r="D17" s="11"/>
      <c r="E17" s="11"/>
      <c r="F17" s="11"/>
      <c r="G17" s="343" t="e">
        <f t="shared" si="5"/>
        <v>#DIV/0!</v>
      </c>
      <c r="H17" s="11"/>
      <c r="I17" s="25">
        <f t="shared" si="6"/>
        <v>-181950304</v>
      </c>
      <c r="J17" s="31"/>
      <c r="K17" s="11">
        <f t="shared" si="7"/>
        <v>-178022515</v>
      </c>
      <c r="L17" s="31"/>
      <c r="M17" s="343">
        <f t="shared" si="8"/>
        <v>2.2063439559878141E-2</v>
      </c>
      <c r="N17" s="12"/>
      <c r="O17" s="278">
        <v>181950304</v>
      </c>
      <c r="P17" s="278"/>
      <c r="Q17" s="278">
        <v>178022515</v>
      </c>
      <c r="R17" s="98"/>
    </row>
    <row r="18" spans="1:18" s="13" customFormat="1" ht="19.5" customHeight="1">
      <c r="A18" s="12" t="s">
        <v>84</v>
      </c>
      <c r="B18" s="12"/>
      <c r="C18" s="25"/>
      <c r="D18" s="11"/>
      <c r="E18" s="11"/>
      <c r="F18" s="11"/>
      <c r="G18" s="343" t="e">
        <f t="shared" si="5"/>
        <v>#DIV/0!</v>
      </c>
      <c r="H18" s="11"/>
      <c r="I18" s="25">
        <f t="shared" si="6"/>
        <v>-14859965</v>
      </c>
      <c r="J18" s="31"/>
      <c r="K18" s="11">
        <f t="shared" si="7"/>
        <v>-12094284</v>
      </c>
      <c r="L18" s="31"/>
      <c r="M18" s="343">
        <f t="shared" si="8"/>
        <v>0.22867670380487179</v>
      </c>
      <c r="N18" s="12"/>
      <c r="O18" s="278">
        <v>14859965</v>
      </c>
      <c r="P18" s="278"/>
      <c r="Q18" s="278">
        <v>12094284</v>
      </c>
      <c r="R18" s="98"/>
    </row>
    <row r="19" spans="1:18" s="13" customFormat="1" ht="19.5" customHeight="1">
      <c r="A19" s="12" t="s">
        <v>155</v>
      </c>
      <c r="B19" s="12"/>
      <c r="C19" s="25"/>
      <c r="D19" s="11"/>
      <c r="E19" s="11"/>
      <c r="F19" s="11"/>
      <c r="G19" s="343" t="e">
        <f t="shared" si="5"/>
        <v>#DIV/0!</v>
      </c>
      <c r="H19" s="11"/>
      <c r="I19" s="25">
        <f t="shared" si="6"/>
        <v>0</v>
      </c>
      <c r="J19" s="31"/>
      <c r="K19" s="11">
        <f t="shared" si="7"/>
        <v>0</v>
      </c>
      <c r="L19" s="31"/>
      <c r="M19" s="343" t="e">
        <f t="shared" si="8"/>
        <v>#DIV/0!</v>
      </c>
      <c r="N19" s="12"/>
      <c r="O19" s="278">
        <v>0</v>
      </c>
      <c r="P19" s="278"/>
      <c r="Q19" s="278">
        <v>0</v>
      </c>
      <c r="R19" s="98"/>
    </row>
    <row r="20" spans="1:18" ht="19.5" customHeight="1">
      <c r="A20" s="10" t="s">
        <v>85</v>
      </c>
      <c r="B20" s="10"/>
      <c r="C20" s="28"/>
      <c r="D20" s="11"/>
      <c r="E20" s="29"/>
      <c r="F20" s="11"/>
      <c r="G20" s="343" t="e">
        <f t="shared" si="5"/>
        <v>#DIV/0!</v>
      </c>
      <c r="H20" s="11"/>
      <c r="I20" s="28">
        <f t="shared" si="6"/>
        <v>-1930254867</v>
      </c>
      <c r="J20" s="11"/>
      <c r="K20" s="29">
        <f t="shared" si="7"/>
        <v>-1730638522</v>
      </c>
      <c r="L20" s="11"/>
      <c r="M20" s="343">
        <f t="shared" si="8"/>
        <v>0.11534259896706495</v>
      </c>
      <c r="N20" s="12"/>
      <c r="O20" s="318">
        <v>1930254867</v>
      </c>
      <c r="Q20" s="318">
        <v>1730638522</v>
      </c>
    </row>
    <row r="21" spans="1:18" ht="19.5" customHeight="1">
      <c r="A21" s="10" t="s">
        <v>86</v>
      </c>
      <c r="B21" s="10"/>
      <c r="C21" s="28">
        <f>SUM(C16:C20)</f>
        <v>0</v>
      </c>
      <c r="D21" s="11"/>
      <c r="E21" s="29">
        <f t="shared" ref="E21" si="9">SUM(E16:E20)</f>
        <v>0</v>
      </c>
      <c r="F21" s="11"/>
      <c r="G21" s="343" t="e">
        <f t="shared" si="5"/>
        <v>#DIV/0!</v>
      </c>
      <c r="H21" s="11"/>
      <c r="I21" s="28">
        <f t="shared" si="6"/>
        <v>-3465114573</v>
      </c>
      <c r="J21" s="11"/>
      <c r="K21" s="29">
        <f t="shared" si="7"/>
        <v>-2946912439</v>
      </c>
      <c r="L21" s="11"/>
      <c r="M21" s="343">
        <f t="shared" si="8"/>
        <v>0.17584578596296732</v>
      </c>
      <c r="N21" s="12"/>
      <c r="O21" s="318">
        <v>3465114573</v>
      </c>
      <c r="Q21" s="318">
        <v>2946912439</v>
      </c>
    </row>
    <row r="22" spans="1:18" ht="19.5" customHeight="1">
      <c r="A22" s="10"/>
      <c r="B22" s="10"/>
      <c r="C22" s="25"/>
      <c r="D22" s="11"/>
      <c r="E22" s="11"/>
      <c r="F22" s="11"/>
      <c r="G22" s="11"/>
      <c r="H22" s="11"/>
      <c r="I22" s="25">
        <f t="shared" si="6"/>
        <v>0</v>
      </c>
      <c r="J22" s="11"/>
      <c r="K22" s="11">
        <f t="shared" si="7"/>
        <v>0</v>
      </c>
      <c r="L22" s="11"/>
      <c r="M22" s="10"/>
      <c r="N22" s="12"/>
    </row>
    <row r="23" spans="1:18" s="27" customFormat="1" ht="19.5" customHeight="1">
      <c r="A23" s="14" t="s">
        <v>87</v>
      </c>
      <c r="B23" s="14"/>
      <c r="C23" s="30">
        <f>C14-C21</f>
        <v>0</v>
      </c>
      <c r="D23" s="26"/>
      <c r="E23" s="26">
        <f t="shared" ref="E23" si="10">E14-E21</f>
        <v>0</v>
      </c>
      <c r="F23" s="26"/>
      <c r="G23" s="344" t="e">
        <f>(C23-E23)/E23</f>
        <v>#DIV/0!</v>
      </c>
      <c r="H23" s="26"/>
      <c r="I23" s="30">
        <f t="shared" si="6"/>
        <v>-4678974529</v>
      </c>
      <c r="J23" s="26"/>
      <c r="K23" s="26">
        <f t="shared" si="7"/>
        <v>-4419915726</v>
      </c>
      <c r="L23" s="26"/>
      <c r="M23" s="344">
        <f t="shared" ref="M23:M25" si="11">(I23-K23)/K23</f>
        <v>5.8611706435056136E-2</v>
      </c>
      <c r="N23" s="314"/>
      <c r="O23" s="277">
        <v>4678974529</v>
      </c>
      <c r="P23" s="277"/>
      <c r="Q23" s="277">
        <v>4419915726</v>
      </c>
      <c r="R23" s="275"/>
    </row>
    <row r="24" spans="1:18" ht="19.5" customHeight="1">
      <c r="A24" s="10" t="s">
        <v>88</v>
      </c>
      <c r="B24" s="10"/>
      <c r="C24" s="28"/>
      <c r="D24" s="11"/>
      <c r="E24" s="29"/>
      <c r="F24" s="11"/>
      <c r="G24" s="343" t="e">
        <f>(C24-E24)/E24</f>
        <v>#DIV/0!</v>
      </c>
      <c r="H24" s="11"/>
      <c r="I24" s="28">
        <f t="shared" si="6"/>
        <v>-292011122</v>
      </c>
      <c r="J24" s="11"/>
      <c r="K24" s="29">
        <f t="shared" si="7"/>
        <v>-285075397</v>
      </c>
      <c r="L24" s="11"/>
      <c r="M24" s="343">
        <f t="shared" si="11"/>
        <v>2.432944081807242E-2</v>
      </c>
      <c r="N24" s="12"/>
      <c r="O24" s="318">
        <v>292011122</v>
      </c>
      <c r="Q24" s="318">
        <v>285075397</v>
      </c>
    </row>
    <row r="25" spans="1:18" s="27" customFormat="1" ht="19.5" customHeight="1">
      <c r="A25" s="14" t="s">
        <v>89</v>
      </c>
      <c r="B25" s="14"/>
      <c r="C25" s="30">
        <f>C23-C24</f>
        <v>0</v>
      </c>
      <c r="D25" s="26"/>
      <c r="E25" s="26">
        <f t="shared" ref="E25" si="12">E23-E24</f>
        <v>0</v>
      </c>
      <c r="F25" s="26"/>
      <c r="G25" s="344" t="e">
        <f>(C25-E25)/E25</f>
        <v>#DIV/0!</v>
      </c>
      <c r="H25" s="26"/>
      <c r="I25" s="30">
        <f t="shared" si="6"/>
        <v>-4386963407</v>
      </c>
      <c r="J25" s="26"/>
      <c r="K25" s="26">
        <f t="shared" si="7"/>
        <v>-4134840329</v>
      </c>
      <c r="L25" s="26"/>
      <c r="M25" s="344">
        <f t="shared" si="11"/>
        <v>6.0975287541750203E-2</v>
      </c>
      <c r="N25" s="314"/>
      <c r="O25" s="277">
        <v>4386963407</v>
      </c>
      <c r="P25" s="277"/>
      <c r="Q25" s="277">
        <v>4134840329</v>
      </c>
      <c r="R25" s="275"/>
    </row>
    <row r="26" spans="1:18" s="27" customFormat="1" ht="19.5" customHeight="1">
      <c r="A26" s="14"/>
      <c r="B26" s="14"/>
      <c r="C26" s="30"/>
      <c r="D26" s="26"/>
      <c r="E26" s="26"/>
      <c r="F26" s="26"/>
      <c r="G26" s="26"/>
      <c r="H26" s="26"/>
      <c r="I26" s="25"/>
      <c r="J26" s="26"/>
      <c r="K26" s="11"/>
      <c r="L26" s="26"/>
      <c r="M26" s="14"/>
      <c r="N26" s="314"/>
      <c r="O26" s="277"/>
      <c r="P26" s="277"/>
      <c r="Q26" s="277"/>
      <c r="R26" s="275"/>
    </row>
    <row r="27" spans="1:18" ht="19.5" customHeight="1">
      <c r="A27" s="10" t="s">
        <v>90</v>
      </c>
      <c r="B27" s="10"/>
      <c r="C27" s="25"/>
      <c r="D27" s="11"/>
      <c r="E27" s="11"/>
      <c r="F27" s="11"/>
      <c r="G27" s="343" t="e">
        <f>(C27-E27)/E27</f>
        <v>#DIV/0!</v>
      </c>
      <c r="H27" s="11"/>
      <c r="I27" s="25">
        <f>C27-O27</f>
        <v>-1263218232</v>
      </c>
      <c r="J27" s="11"/>
      <c r="K27" s="11">
        <f>E27-Q27</f>
        <v>-1284878728</v>
      </c>
      <c r="L27" s="11"/>
      <c r="M27" s="343">
        <f t="shared" ref="M27:M28" si="13">(I27-K27)/K27</f>
        <v>-1.6858008096776584E-2</v>
      </c>
      <c r="N27" s="12"/>
      <c r="O27" s="276">
        <v>1263218232</v>
      </c>
      <c r="Q27" s="276">
        <v>1284878728</v>
      </c>
    </row>
    <row r="28" spans="1:18" s="27" customFormat="1" ht="19.5" customHeight="1" thickBot="1">
      <c r="A28" s="14" t="s">
        <v>149</v>
      </c>
      <c r="B28" s="14"/>
      <c r="C28" s="36">
        <f>C25-C27</f>
        <v>0</v>
      </c>
      <c r="D28" s="26"/>
      <c r="E28" s="37">
        <f t="shared" ref="E28" si="14">E25-E27</f>
        <v>0</v>
      </c>
      <c r="F28" s="26"/>
      <c r="G28" s="344" t="e">
        <f>(C28-E28)/E28</f>
        <v>#DIV/0!</v>
      </c>
      <c r="H28" s="26"/>
      <c r="I28" s="36">
        <f>C28-O28</f>
        <v>-3123745175</v>
      </c>
      <c r="J28" s="26"/>
      <c r="K28" s="37">
        <f>E28-Q28</f>
        <v>-2849961601</v>
      </c>
      <c r="L28" s="26"/>
      <c r="M28" s="344">
        <f t="shared" si="13"/>
        <v>9.6065706255106839E-2</v>
      </c>
      <c r="N28" s="314"/>
      <c r="O28" s="319">
        <v>3123745175</v>
      </c>
      <c r="P28" s="277"/>
      <c r="Q28" s="319">
        <v>2849961601</v>
      </c>
      <c r="R28" s="275"/>
    </row>
    <row r="29" spans="1:18" ht="19.5" customHeight="1" thickTop="1">
      <c r="A29" s="10"/>
      <c r="B29" s="10"/>
      <c r="C29" s="25"/>
      <c r="D29" s="11"/>
      <c r="E29" s="31"/>
      <c r="F29" s="31"/>
      <c r="G29" s="31"/>
      <c r="H29" s="31"/>
      <c r="I29" s="25"/>
      <c r="J29" s="11"/>
      <c r="K29" s="11"/>
      <c r="L29" s="11"/>
      <c r="M29" s="10"/>
      <c r="N29" s="12"/>
    </row>
    <row r="30" spans="1:18" ht="19.5" customHeight="1">
      <c r="A30" s="14" t="s">
        <v>357</v>
      </c>
      <c r="B30" s="10"/>
      <c r="C30" s="25"/>
      <c r="D30" s="11"/>
      <c r="E30" s="11"/>
      <c r="F30" s="11"/>
      <c r="G30" s="11"/>
      <c r="H30" s="11"/>
      <c r="I30" s="25"/>
      <c r="J30" s="11"/>
      <c r="K30" s="11"/>
      <c r="L30" s="11"/>
      <c r="M30" s="12"/>
      <c r="N30" s="12"/>
    </row>
    <row r="31" spans="1:18" ht="19.5" customHeight="1">
      <c r="A31" s="10" t="s">
        <v>402</v>
      </c>
      <c r="B31" s="10"/>
      <c r="C31" s="39">
        <f>C28/(1560000160+19862322)</f>
        <v>0</v>
      </c>
      <c r="D31" s="40"/>
      <c r="E31" s="40">
        <v>1.8268982748053051</v>
      </c>
      <c r="F31" s="40"/>
      <c r="G31" s="40" t="e">
        <f t="shared" ref="G31:M31" si="15">G28/(1560000160+19862322)</f>
        <v>#DIV/0!</v>
      </c>
      <c r="H31" s="40"/>
      <c r="I31" s="39">
        <f t="shared" si="15"/>
        <v>-1.977225999471516</v>
      </c>
      <c r="J31" s="40"/>
      <c r="K31" s="40">
        <f t="shared" si="15"/>
        <v>-1.8039301733351751</v>
      </c>
      <c r="L31" s="40">
        <f t="shared" si="15"/>
        <v>0</v>
      </c>
      <c r="M31" s="40">
        <f t="shared" si="15"/>
        <v>6.0806372294817776E-11</v>
      </c>
      <c r="N31" s="40"/>
    </row>
    <row r="32" spans="1:18" s="41" customFormat="1" ht="19.5" customHeight="1">
      <c r="C32" s="42"/>
      <c r="D32" s="323"/>
      <c r="E32" s="317"/>
      <c r="F32" s="317"/>
      <c r="G32" s="317"/>
      <c r="I32" s="43"/>
      <c r="J32" s="324"/>
      <c r="K32" s="43"/>
      <c r="L32" s="43"/>
      <c r="M32" s="317"/>
      <c r="N32" s="317"/>
      <c r="O32" s="279"/>
      <c r="P32" s="279"/>
      <c r="Q32" s="279"/>
      <c r="R32" s="410"/>
    </row>
    <row r="33" spans="1:13" ht="19.5" customHeight="1">
      <c r="A33" s="9" t="s">
        <v>146</v>
      </c>
      <c r="C33" s="44"/>
      <c r="D33" s="328"/>
      <c r="E33" s="329"/>
      <c r="F33" s="329"/>
      <c r="G33" s="329"/>
      <c r="H33" s="44"/>
      <c r="I33" s="45"/>
      <c r="K33" s="45"/>
      <c r="L33" s="45"/>
      <c r="M33" s="13"/>
    </row>
    <row r="34" spans="1:13" ht="19.5" customHeight="1">
      <c r="A34" s="345" t="s">
        <v>147</v>
      </c>
      <c r="K34" s="45"/>
      <c r="L34" s="45"/>
    </row>
    <row r="35" spans="1:13">
      <c r="A35" s="47"/>
      <c r="B35" s="10"/>
      <c r="C35" s="11"/>
      <c r="E35" s="32"/>
      <c r="F35" s="32"/>
      <c r="G35" s="32"/>
      <c r="H35" s="33"/>
      <c r="I35" s="45"/>
    </row>
    <row r="36" spans="1:13">
      <c r="A36" s="10"/>
      <c r="B36" s="10"/>
      <c r="C36" s="320"/>
      <c r="D36" s="322"/>
      <c r="E36" s="48"/>
      <c r="F36" s="48"/>
      <c r="G36" s="48"/>
      <c r="H36" s="48"/>
      <c r="I36" s="45"/>
      <c r="J36" s="45"/>
      <c r="K36" s="45"/>
      <c r="L36" s="45"/>
    </row>
    <row r="37" spans="1:13">
      <c r="A37" s="10"/>
      <c r="B37" s="10"/>
      <c r="C37" s="11"/>
      <c r="E37" s="49"/>
      <c r="F37" s="49"/>
      <c r="G37" s="49"/>
      <c r="H37" s="49"/>
      <c r="K37" s="45"/>
      <c r="L37" s="45"/>
    </row>
    <row r="38" spans="1:13">
      <c r="A38" s="10"/>
      <c r="B38" s="10"/>
      <c r="C38" s="48"/>
      <c r="D38" s="48"/>
      <c r="E38" s="48"/>
      <c r="F38" s="48"/>
      <c r="G38" s="48"/>
      <c r="H38" s="48"/>
    </row>
    <row r="39" spans="1:13">
      <c r="A39" s="10"/>
      <c r="B39" s="49"/>
      <c r="C39" s="49"/>
      <c r="D39" s="49"/>
      <c r="E39" s="49"/>
      <c r="F39" s="49"/>
      <c r="G39" s="49"/>
      <c r="H39" s="49"/>
      <c r="I39" s="46"/>
      <c r="J39" s="11"/>
      <c r="K39" s="46"/>
      <c r="L39" s="46"/>
    </row>
    <row r="40" spans="1:13">
      <c r="A40" s="10"/>
      <c r="B40" s="10"/>
      <c r="C40" s="47"/>
      <c r="D40" s="38"/>
      <c r="E40" s="50"/>
      <c r="F40" s="50"/>
      <c r="G40" s="50"/>
      <c r="H40" s="50"/>
      <c r="I40" s="46"/>
      <c r="J40" s="11"/>
      <c r="K40" s="46"/>
      <c r="L40" s="46"/>
    </row>
    <row r="41" spans="1:13">
      <c r="A41" s="10"/>
      <c r="B41" s="10"/>
      <c r="C41" s="11"/>
      <c r="D41" s="11"/>
      <c r="E41" s="11"/>
      <c r="F41" s="11"/>
      <c r="G41" s="11"/>
      <c r="H41" s="46"/>
      <c r="I41" s="46"/>
      <c r="J41" s="46"/>
      <c r="K41" s="46"/>
      <c r="L41" s="46"/>
    </row>
    <row r="42" spans="1:13">
      <c r="A42" s="10"/>
      <c r="B42" s="10"/>
      <c r="C42" s="11"/>
      <c r="E42" s="10"/>
      <c r="F42" s="10"/>
      <c r="G42" s="10"/>
    </row>
  </sheetData>
  <mergeCells count="3">
    <mergeCell ref="A1:M1"/>
    <mergeCell ref="C3:G3"/>
    <mergeCell ref="I3:K3"/>
  </mergeCells>
  <pageMargins left="0.44" right="0.24" top="0.75" bottom="0.75" header="0.3" footer="0.3"/>
  <pageSetup paperSize="9" scale="68" orientation="portrait" r:id="rId1"/>
</worksheet>
</file>

<file path=xl/worksheets/sheet3.xml><?xml version="1.0" encoding="utf-8"?>
<worksheet xmlns="http://schemas.openxmlformats.org/spreadsheetml/2006/main" xmlns:r="http://schemas.openxmlformats.org/officeDocument/2006/relationships">
  <sheetPr>
    <tabColor rgb="FFFF0000"/>
  </sheetPr>
  <dimension ref="D1:H63"/>
  <sheetViews>
    <sheetView view="pageBreakPreview" topLeftCell="A34" zoomScaleSheetLayoutView="100" workbookViewId="0">
      <selection activeCell="L15" sqref="L14:M15"/>
    </sheetView>
  </sheetViews>
  <sheetFormatPr defaultColWidth="8" defaultRowHeight="12.75"/>
  <cols>
    <col min="1" max="2" width="8" style="451"/>
    <col min="3" max="3" width="17.140625" style="451" customWidth="1"/>
    <col min="4" max="4" width="8" style="451"/>
    <col min="5" max="5" width="1.7109375" style="451" customWidth="1"/>
    <col min="6" max="6" width="45.85546875" style="451" customWidth="1"/>
    <col min="7" max="7" width="3.5703125" style="451" customWidth="1"/>
    <col min="8" max="8" width="2.85546875" style="451" customWidth="1"/>
    <col min="9" max="9" width="9" style="451" customWidth="1"/>
    <col min="10" max="10" width="5.85546875" style="451" customWidth="1"/>
    <col min="11" max="11" width="2.85546875" style="451" customWidth="1"/>
    <col min="12" max="12" width="8" style="451" customWidth="1"/>
    <col min="13" max="13" width="1" style="451" customWidth="1"/>
    <col min="14" max="14" width="1.85546875" style="451" customWidth="1"/>
    <col min="15" max="16384" width="8" style="451"/>
  </cols>
  <sheetData>
    <row r="1" spans="6:6" ht="15" customHeight="1">
      <c r="F1" s="450"/>
    </row>
    <row r="2" spans="6:6" ht="15" customHeight="1">
      <c r="F2" s="450"/>
    </row>
    <row r="3" spans="6:6" ht="15" customHeight="1">
      <c r="F3" s="450"/>
    </row>
    <row r="4" spans="6:6" ht="15" customHeight="1">
      <c r="F4" s="450"/>
    </row>
    <row r="5" spans="6:6" ht="15" customHeight="1">
      <c r="F5" s="450"/>
    </row>
    <row r="6" spans="6:6" ht="15" customHeight="1">
      <c r="F6" s="450"/>
    </row>
    <row r="7" spans="6:6" ht="15" customHeight="1">
      <c r="F7" s="450"/>
    </row>
    <row r="8" spans="6:6" ht="15" customHeight="1">
      <c r="F8" s="450"/>
    </row>
    <row r="9" spans="6:6" ht="15" customHeight="1">
      <c r="F9" s="450"/>
    </row>
    <row r="10" spans="6:6" ht="15" customHeight="1">
      <c r="F10" s="450"/>
    </row>
    <row r="11" spans="6:6" ht="15" customHeight="1">
      <c r="F11" s="450"/>
    </row>
    <row r="12" spans="6:6" ht="15" customHeight="1">
      <c r="F12" s="450"/>
    </row>
    <row r="13" spans="6:6" ht="15" customHeight="1">
      <c r="F13" s="450"/>
    </row>
    <row r="14" spans="6:6" ht="15" customHeight="1">
      <c r="F14" s="450"/>
    </row>
    <row r="15" spans="6:6" ht="15" customHeight="1">
      <c r="F15" s="450"/>
    </row>
    <row r="16" spans="6:6" ht="15" customHeight="1">
      <c r="F16" s="450"/>
    </row>
    <row r="17" spans="6:6" ht="15" customHeight="1">
      <c r="F17" s="450"/>
    </row>
    <row r="18" spans="6:6" ht="15" customHeight="1">
      <c r="F18" s="450"/>
    </row>
    <row r="19" spans="6:6" ht="15" customHeight="1">
      <c r="F19" s="450"/>
    </row>
    <row r="20" spans="6:6" ht="15" customHeight="1">
      <c r="F20" s="450"/>
    </row>
    <row r="21" spans="6:6" ht="15" customHeight="1">
      <c r="F21" s="450"/>
    </row>
    <row r="22" spans="6:6" ht="15" customHeight="1">
      <c r="F22" s="450"/>
    </row>
    <row r="23" spans="6:6" ht="15" customHeight="1">
      <c r="F23" s="450"/>
    </row>
    <row r="24" spans="6:6" ht="15" customHeight="1">
      <c r="F24" s="450"/>
    </row>
    <row r="25" spans="6:6" ht="15" customHeight="1">
      <c r="F25" s="450"/>
    </row>
    <row r="26" spans="6:6" ht="15" customHeight="1">
      <c r="F26" s="450"/>
    </row>
    <row r="27" spans="6:6" ht="15" customHeight="1">
      <c r="F27" s="450"/>
    </row>
    <row r="28" spans="6:6" ht="15" customHeight="1">
      <c r="F28" s="450"/>
    </row>
    <row r="29" spans="6:6" ht="15" customHeight="1">
      <c r="F29" s="450"/>
    </row>
    <row r="30" spans="6:6" ht="15" customHeight="1">
      <c r="F30" s="450"/>
    </row>
    <row r="31" spans="6:6" ht="15" customHeight="1">
      <c r="F31" s="450"/>
    </row>
    <row r="32" spans="6:6" ht="15" customHeight="1">
      <c r="F32" s="450"/>
    </row>
    <row r="33" spans="4:8" ht="15" customHeight="1">
      <c r="F33" s="450"/>
    </row>
    <row r="34" spans="4:8" ht="15" customHeight="1">
      <c r="F34" s="450"/>
    </row>
    <row r="35" spans="4:8" ht="15" customHeight="1" thickBot="1"/>
    <row r="36" spans="4:8" ht="15" customHeight="1">
      <c r="E36" s="452"/>
      <c r="F36" s="1163"/>
      <c r="G36" s="453"/>
      <c r="H36" s="454"/>
    </row>
    <row r="37" spans="4:8" ht="20.25">
      <c r="E37" s="455"/>
      <c r="F37" s="1164" t="s">
        <v>525</v>
      </c>
      <c r="G37" s="1165"/>
      <c r="H37" s="456"/>
    </row>
    <row r="38" spans="4:8" ht="15" customHeight="1" thickBot="1">
      <c r="E38" s="455"/>
      <c r="F38" s="1166" t="s">
        <v>526</v>
      </c>
      <c r="G38" s="1167"/>
      <c r="H38" s="456"/>
    </row>
    <row r="39" spans="4:8" ht="15" customHeight="1">
      <c r="E39" s="455"/>
      <c r="F39" s="1168" t="s">
        <v>528</v>
      </c>
      <c r="G39" s="1169" t="s">
        <v>527</v>
      </c>
      <c r="H39" s="456"/>
    </row>
    <row r="40" spans="4:8" ht="15" customHeight="1">
      <c r="E40" s="455"/>
      <c r="F40" s="1169" t="s">
        <v>635</v>
      </c>
      <c r="G40" s="1169" t="s">
        <v>529</v>
      </c>
      <c r="H40" s="456"/>
    </row>
    <row r="41" spans="4:8" ht="15" customHeight="1">
      <c r="E41" s="455"/>
      <c r="F41" s="1169" t="s">
        <v>636</v>
      </c>
      <c r="G41" s="1170" t="s">
        <v>530</v>
      </c>
      <c r="H41" s="456"/>
    </row>
    <row r="42" spans="4:8" ht="15" customHeight="1">
      <c r="E42" s="455"/>
      <c r="F42" s="1169" t="s">
        <v>534</v>
      </c>
      <c r="G42" s="1170" t="s">
        <v>531</v>
      </c>
      <c r="H42" s="456"/>
    </row>
    <row r="43" spans="4:8" ht="15" customHeight="1">
      <c r="D43" s="1171"/>
      <c r="E43" s="455"/>
      <c r="F43" s="1169" t="s">
        <v>533</v>
      </c>
      <c r="G43" s="1170" t="s">
        <v>532</v>
      </c>
      <c r="H43" s="456"/>
    </row>
    <row r="44" spans="4:8" ht="15" customHeight="1">
      <c r="E44" s="455"/>
      <c r="F44" s="1169" t="s">
        <v>535</v>
      </c>
      <c r="G44" s="1170" t="s">
        <v>542</v>
      </c>
      <c r="H44" s="456"/>
    </row>
    <row r="45" spans="4:8" ht="15" customHeight="1">
      <c r="E45" s="455"/>
      <c r="F45" s="1169" t="s">
        <v>536</v>
      </c>
      <c r="G45" s="1170" t="s">
        <v>543</v>
      </c>
      <c r="H45" s="456"/>
    </row>
    <row r="46" spans="4:8" ht="15" customHeight="1">
      <c r="E46" s="455"/>
      <c r="F46" s="1169" t="s">
        <v>537</v>
      </c>
      <c r="G46" s="1170" t="s">
        <v>544</v>
      </c>
      <c r="H46" s="456"/>
    </row>
    <row r="47" spans="4:8" ht="15" customHeight="1">
      <c r="E47" s="455"/>
      <c r="F47" s="1169" t="s">
        <v>538</v>
      </c>
      <c r="G47" s="1170" t="s">
        <v>545</v>
      </c>
      <c r="H47" s="456"/>
    </row>
    <row r="48" spans="4:8" ht="15" customHeight="1">
      <c r="E48" s="455"/>
      <c r="F48" s="1169" t="s">
        <v>539</v>
      </c>
      <c r="G48" s="1170" t="s">
        <v>546</v>
      </c>
      <c r="H48" s="456"/>
    </row>
    <row r="49" spans="5:8" ht="15" customHeight="1">
      <c r="E49" s="455"/>
      <c r="F49" s="1169" t="s">
        <v>540</v>
      </c>
      <c r="G49" s="1170" t="s">
        <v>547</v>
      </c>
      <c r="H49" s="456"/>
    </row>
    <row r="50" spans="5:8" ht="15" hidden="1" customHeight="1">
      <c r="E50" s="455"/>
      <c r="F50" s="1169" t="s">
        <v>541</v>
      </c>
      <c r="G50" s="1170" t="s">
        <v>548</v>
      </c>
      <c r="H50" s="456"/>
    </row>
    <row r="51" spans="5:8" ht="15" customHeight="1" thickBot="1">
      <c r="E51" s="457"/>
      <c r="F51" s="458"/>
      <c r="G51" s="458"/>
      <c r="H51" s="459"/>
    </row>
    <row r="52" spans="5:8" ht="15" customHeight="1"/>
    <row r="53" spans="5:8" ht="15" customHeight="1"/>
    <row r="54" spans="5:8" ht="15" customHeight="1"/>
    <row r="55" spans="5:8" ht="15" customHeight="1"/>
    <row r="56" spans="5:8" ht="15" customHeight="1"/>
    <row r="57" spans="5:8" ht="15" customHeight="1"/>
    <row r="58" spans="5:8" ht="15" customHeight="1"/>
    <row r="59" spans="5:8" ht="15" customHeight="1"/>
    <row r="60" spans="5:8" ht="15" customHeight="1"/>
    <row r="61" spans="5:8" ht="15" customHeight="1"/>
    <row r="62" spans="5:8" ht="15" customHeight="1"/>
    <row r="63" spans="5:8" ht="15" customHeight="1"/>
  </sheetData>
  <pageMargins left="0.7" right="0.25"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tabColor rgb="FF00B050"/>
    <pageSetUpPr fitToPage="1"/>
  </sheetPr>
  <dimension ref="A1:Q45"/>
  <sheetViews>
    <sheetView view="pageBreakPreview" zoomScale="80" zoomScaleSheetLayoutView="80" workbookViewId="0">
      <pane xSplit="2" ySplit="4" topLeftCell="C14" activePane="bottomRight" state="frozen"/>
      <selection activeCell="I10" sqref="I10"/>
      <selection pane="topRight" activeCell="I10" sqref="I10"/>
      <selection pane="bottomLeft" activeCell="I10" sqref="I10"/>
      <selection pane="bottomRight" activeCell="O21" sqref="O21"/>
    </sheetView>
  </sheetViews>
  <sheetFormatPr defaultColWidth="9.140625" defaultRowHeight="15.75"/>
  <cols>
    <col min="1" max="1" width="47.140625" style="9" customWidth="1"/>
    <col min="2" max="2" width="3.28515625" style="9" customWidth="1"/>
    <col min="3" max="3" width="18.140625" style="46" bestFit="1" customWidth="1"/>
    <col min="4" max="4" width="0.85546875" style="10" customWidth="1"/>
    <col min="5" max="5" width="17.7109375" style="9" customWidth="1"/>
    <col min="6" max="6" width="0.85546875" style="9" customWidth="1"/>
    <col min="7" max="7" width="10.7109375" style="9" customWidth="1"/>
    <col min="8" max="8" width="0.85546875" style="9" customWidth="1"/>
    <col min="9" max="9" width="17" style="13" customWidth="1"/>
    <col min="10" max="10" width="0.85546875" style="12" customWidth="1"/>
    <col min="11" max="11" width="17" style="13" customWidth="1"/>
    <col min="12" max="12" width="0.85546875" style="13" customWidth="1"/>
    <col min="13" max="13" width="10.7109375" style="9" customWidth="1"/>
    <col min="14" max="14" width="3" style="12" customWidth="1"/>
    <col min="15" max="15" width="18.140625" style="276" customWidth="1"/>
    <col min="16" max="16" width="1.42578125" style="276" customWidth="1"/>
    <col min="17" max="17" width="18.140625" style="276" customWidth="1"/>
    <col min="18" max="16384" width="9.140625" style="9"/>
  </cols>
  <sheetData>
    <row r="1" spans="1:17">
      <c r="A1" s="1782" t="s">
        <v>353</v>
      </c>
      <c r="B1" s="1783"/>
      <c r="C1" s="1783"/>
      <c r="D1" s="1783"/>
      <c r="E1" s="1783"/>
      <c r="F1" s="1783"/>
      <c r="G1" s="1783"/>
      <c r="H1" s="1783"/>
      <c r="I1" s="1783"/>
      <c r="J1" s="1783"/>
      <c r="K1" s="1783"/>
      <c r="L1" s="1783"/>
      <c r="M1" s="1783"/>
      <c r="N1" s="325"/>
    </row>
    <row r="2" spans="1:17" ht="14.25" customHeight="1">
      <c r="A2" s="10"/>
      <c r="B2" s="10"/>
      <c r="C2" s="11"/>
      <c r="E2" s="10"/>
      <c r="F2" s="10"/>
      <c r="G2" s="10"/>
      <c r="H2" s="10"/>
      <c r="I2" s="12"/>
    </row>
    <row r="3" spans="1:17" ht="16.5" thickBot="1">
      <c r="A3" s="14"/>
      <c r="B3" s="14"/>
      <c r="C3" s="1784" t="e">
        <f>#REF!</f>
        <v>#REF!</v>
      </c>
      <c r="D3" s="1784"/>
      <c r="E3" s="1784"/>
      <c r="F3" s="1784"/>
      <c r="G3" s="1784"/>
      <c r="H3" s="15"/>
      <c r="I3" s="1785" t="s">
        <v>351</v>
      </c>
      <c r="J3" s="1785" t="s">
        <v>78</v>
      </c>
      <c r="K3" s="1785"/>
      <c r="L3" s="274"/>
      <c r="M3" s="17"/>
    </row>
    <row r="4" spans="1:17">
      <c r="A4" s="14"/>
      <c r="B4" s="14"/>
      <c r="C4" s="18" t="e">
        <f>#REF!</f>
        <v>#REF!</v>
      </c>
      <c r="D4" s="19"/>
      <c r="E4" s="20" t="e">
        <f>#REF!</f>
        <v>#REF!</v>
      </c>
      <c r="F4" s="20"/>
      <c r="G4" s="20" t="s">
        <v>151</v>
      </c>
      <c r="H4" s="20"/>
      <c r="I4" s="18" t="e">
        <f>C4</f>
        <v>#REF!</v>
      </c>
      <c r="J4" s="20"/>
      <c r="K4" s="20" t="e">
        <f>E4</f>
        <v>#REF!</v>
      </c>
      <c r="L4" s="20"/>
      <c r="M4" s="20" t="s">
        <v>151</v>
      </c>
      <c r="N4" s="20"/>
      <c r="O4" s="18" t="s">
        <v>429</v>
      </c>
      <c r="Q4" s="18" t="s">
        <v>53</v>
      </c>
    </row>
    <row r="5" spans="1:17">
      <c r="A5" s="14"/>
      <c r="B5" s="14"/>
      <c r="C5" s="18" t="s">
        <v>19</v>
      </c>
      <c r="D5" s="19"/>
      <c r="E5" s="20" t="s">
        <v>19</v>
      </c>
      <c r="F5" s="20"/>
      <c r="G5" s="20" t="s">
        <v>28</v>
      </c>
      <c r="H5" s="20"/>
      <c r="I5" s="18" t="s">
        <v>19</v>
      </c>
      <c r="J5" s="20"/>
      <c r="K5" s="20" t="s">
        <v>19</v>
      </c>
      <c r="L5" s="20"/>
      <c r="M5" s="20" t="s">
        <v>28</v>
      </c>
      <c r="N5" s="20"/>
      <c r="O5" s="18" t="s">
        <v>19</v>
      </c>
      <c r="Q5" s="18" t="s">
        <v>19</v>
      </c>
    </row>
    <row r="6" spans="1:17" ht="16.5" thickBot="1">
      <c r="A6" s="21"/>
      <c r="B6" s="21"/>
      <c r="C6" s="22" t="e">
        <f>#REF!</f>
        <v>#REF!</v>
      </c>
      <c r="D6" s="19"/>
      <c r="E6" s="23" t="e">
        <f>#REF!</f>
        <v>#REF!</v>
      </c>
      <c r="F6" s="23"/>
      <c r="G6" s="23"/>
      <c r="H6" s="23"/>
      <c r="I6" s="22" t="e">
        <f>#REF!</f>
        <v>#REF!</v>
      </c>
      <c r="J6" s="20"/>
      <c r="K6" s="23" t="e">
        <f>#REF!</f>
        <v>#REF!</v>
      </c>
      <c r="L6" s="23"/>
      <c r="M6" s="17"/>
      <c r="O6" s="22" t="s">
        <v>163</v>
      </c>
      <c r="Q6" s="22" t="s">
        <v>163</v>
      </c>
    </row>
    <row r="7" spans="1:17" ht="20.100000000000001" customHeight="1">
      <c r="A7" s="10" t="s">
        <v>79</v>
      </c>
      <c r="B7" s="10"/>
      <c r="C7" s="25"/>
      <c r="D7" s="11"/>
      <c r="E7" s="11"/>
      <c r="F7" s="11"/>
      <c r="G7" s="343" t="e">
        <f t="shared" ref="G7:G15" si="0">(C7-E7)/E7</f>
        <v>#DIV/0!</v>
      </c>
      <c r="H7" s="11">
        <v>0</v>
      </c>
      <c r="I7" s="25">
        <f t="shared" ref="I7:I15" si="1">C7-O7</f>
        <v>-20053447465</v>
      </c>
      <c r="J7" s="11"/>
      <c r="K7" s="11">
        <f>E7-Q7</f>
        <v>-17485275915</v>
      </c>
      <c r="L7" s="11"/>
      <c r="M7" s="343">
        <f t="shared" ref="M7:M15" si="2">(I7-K7)/K7</f>
        <v>0.14687623818374274</v>
      </c>
      <c r="O7" s="276">
        <v>20053447465</v>
      </c>
      <c r="Q7" s="276">
        <v>17485275915</v>
      </c>
    </row>
    <row r="8" spans="1:17" ht="20.100000000000001" customHeight="1">
      <c r="A8" s="10" t="s">
        <v>333</v>
      </c>
      <c r="B8" s="10"/>
      <c r="C8" s="28"/>
      <c r="D8" s="11"/>
      <c r="E8" s="29"/>
      <c r="F8" s="11"/>
      <c r="G8" s="343" t="e">
        <f t="shared" si="0"/>
        <v>#DIV/0!</v>
      </c>
      <c r="H8" s="11"/>
      <c r="I8" s="28">
        <f t="shared" si="1"/>
        <v>-11395895941</v>
      </c>
      <c r="J8" s="11"/>
      <c r="K8" s="29">
        <f t="shared" ref="K8:K15" si="3">E8-Q8</f>
        <v>-10308260077</v>
      </c>
      <c r="L8" s="11"/>
      <c r="M8" s="343">
        <f t="shared" si="2"/>
        <v>0.10551110040643574</v>
      </c>
      <c r="O8" s="318">
        <v>11395895941</v>
      </c>
      <c r="Q8" s="318">
        <v>10308260077</v>
      </c>
    </row>
    <row r="9" spans="1:17" s="27" customFormat="1" ht="20.100000000000001" customHeight="1">
      <c r="A9" s="14" t="s">
        <v>80</v>
      </c>
      <c r="B9" s="14"/>
      <c r="C9" s="30">
        <f>C7-C8</f>
        <v>0</v>
      </c>
      <c r="D9" s="26"/>
      <c r="E9" s="26">
        <f>E7-E8</f>
        <v>0</v>
      </c>
      <c r="F9" s="26"/>
      <c r="G9" s="344" t="e">
        <f t="shared" si="0"/>
        <v>#DIV/0!</v>
      </c>
      <c r="H9" s="26"/>
      <c r="I9" s="30">
        <f t="shared" si="1"/>
        <v>-8657551524</v>
      </c>
      <c r="J9" s="26"/>
      <c r="K9" s="26">
        <f t="shared" si="3"/>
        <v>-7177015838</v>
      </c>
      <c r="L9" s="26"/>
      <c r="M9" s="344">
        <f t="shared" si="2"/>
        <v>0.20628847969946476</v>
      </c>
      <c r="N9" s="314"/>
      <c r="O9" s="277">
        <v>8657551524</v>
      </c>
      <c r="P9" s="277"/>
      <c r="Q9" s="277">
        <v>7177015838</v>
      </c>
    </row>
    <row r="10" spans="1:17" s="27" customFormat="1" ht="20.100000000000001" customHeight="1">
      <c r="A10" s="280" t="s">
        <v>322</v>
      </c>
      <c r="B10" s="14"/>
      <c r="C10" s="25"/>
      <c r="D10" s="11"/>
      <c r="E10" s="11"/>
      <c r="F10" s="26"/>
      <c r="G10" s="343" t="e">
        <f t="shared" si="0"/>
        <v>#DIV/0!</v>
      </c>
      <c r="H10" s="26"/>
      <c r="I10" s="25">
        <f t="shared" si="1"/>
        <v>-3464453345</v>
      </c>
      <c r="J10" s="26"/>
      <c r="K10" s="11">
        <f t="shared" si="3"/>
        <v>-2448241131</v>
      </c>
      <c r="L10" s="26"/>
      <c r="M10" s="343">
        <f t="shared" si="2"/>
        <v>0.41507848272482928</v>
      </c>
      <c r="N10" s="314"/>
      <c r="O10" s="276">
        <v>3464453345</v>
      </c>
      <c r="P10" s="276"/>
      <c r="Q10" s="276">
        <v>2448241131</v>
      </c>
    </row>
    <row r="11" spans="1:17" ht="20.100000000000001" customHeight="1">
      <c r="A11" s="10" t="s">
        <v>196</v>
      </c>
      <c r="B11" s="10"/>
      <c r="C11" s="25"/>
      <c r="D11" s="11"/>
      <c r="E11" s="11"/>
      <c r="F11" s="11"/>
      <c r="G11" s="343" t="e">
        <f t="shared" si="0"/>
        <v>#DIV/0!</v>
      </c>
      <c r="H11" s="11"/>
      <c r="I11" s="25">
        <f t="shared" si="1"/>
        <v>-393016097</v>
      </c>
      <c r="J11" s="11"/>
      <c r="K11" s="11">
        <f t="shared" si="3"/>
        <v>-517216575</v>
      </c>
      <c r="L11" s="11"/>
      <c r="M11" s="343">
        <f t="shared" si="2"/>
        <v>-0.24013243968447839</v>
      </c>
      <c r="O11" s="276">
        <v>393016097</v>
      </c>
      <c r="Q11" s="276">
        <v>517216575</v>
      </c>
    </row>
    <row r="12" spans="1:17" ht="19.5" customHeight="1">
      <c r="A12" s="10" t="s">
        <v>152</v>
      </c>
      <c r="B12" s="10"/>
      <c r="C12" s="28"/>
      <c r="D12" s="11"/>
      <c r="E12" s="29"/>
      <c r="F12" s="11"/>
      <c r="G12" s="343" t="e">
        <f t="shared" si="0"/>
        <v>#DIV/0!</v>
      </c>
      <c r="H12" s="11"/>
      <c r="I12" s="28">
        <f t="shared" si="1"/>
        <v>-266307543</v>
      </c>
      <c r="J12" s="11"/>
      <c r="K12" s="29">
        <f t="shared" si="3"/>
        <v>-363352166</v>
      </c>
      <c r="L12" s="11"/>
      <c r="M12" s="343">
        <f t="shared" si="2"/>
        <v>-0.2670814490204525</v>
      </c>
      <c r="O12" s="318">
        <v>266307543</v>
      </c>
      <c r="Q12" s="318">
        <v>363352166</v>
      </c>
    </row>
    <row r="13" spans="1:17" s="27" customFormat="1" ht="19.5" customHeight="1">
      <c r="A13" s="14" t="s">
        <v>81</v>
      </c>
      <c r="B13" s="14"/>
      <c r="C13" s="30">
        <f>SUM(C9:C12)</f>
        <v>0</v>
      </c>
      <c r="D13" s="26">
        <f t="shared" ref="D13:E13" si="4">SUM(D9:D12)</f>
        <v>0</v>
      </c>
      <c r="E13" s="26">
        <f t="shared" si="4"/>
        <v>0</v>
      </c>
      <c r="F13" s="26"/>
      <c r="G13" s="344" t="e">
        <f t="shared" si="0"/>
        <v>#DIV/0!</v>
      </c>
      <c r="H13" s="26"/>
      <c r="I13" s="30">
        <f t="shared" si="1"/>
        <v>-12781328509</v>
      </c>
      <c r="J13" s="26"/>
      <c r="K13" s="26">
        <f t="shared" si="3"/>
        <v>-10505825710</v>
      </c>
      <c r="L13" s="26"/>
      <c r="M13" s="344">
        <f t="shared" si="2"/>
        <v>0.21659437932937115</v>
      </c>
      <c r="N13" s="314"/>
      <c r="O13" s="277">
        <v>12781328509</v>
      </c>
      <c r="P13" s="277">
        <v>0</v>
      </c>
      <c r="Q13" s="277">
        <v>10505825710</v>
      </c>
    </row>
    <row r="14" spans="1:17" ht="19.5" customHeight="1">
      <c r="A14" s="10" t="s">
        <v>153</v>
      </c>
      <c r="B14" s="10"/>
      <c r="C14" s="28"/>
      <c r="D14" s="11"/>
      <c r="E14" s="29"/>
      <c r="F14" s="11"/>
      <c r="G14" s="343" t="e">
        <f t="shared" si="0"/>
        <v>#DIV/0!</v>
      </c>
      <c r="H14" s="11"/>
      <c r="I14" s="28">
        <f t="shared" si="1"/>
        <v>-1229855830</v>
      </c>
      <c r="J14" s="11"/>
      <c r="K14" s="29">
        <f t="shared" si="3"/>
        <v>-698546892</v>
      </c>
      <c r="L14" s="31"/>
      <c r="M14" s="343">
        <f t="shared" si="2"/>
        <v>0.7605916568876524</v>
      </c>
      <c r="N14" s="315"/>
      <c r="O14" s="318">
        <v>1229855830</v>
      </c>
      <c r="Q14" s="318">
        <v>698546892</v>
      </c>
    </row>
    <row r="15" spans="1:17" s="27" customFormat="1" ht="19.5" customHeight="1">
      <c r="A15" s="14" t="s">
        <v>82</v>
      </c>
      <c r="B15" s="14"/>
      <c r="C15" s="30">
        <f>C13-C14</f>
        <v>0</v>
      </c>
      <c r="D15" s="26">
        <f t="shared" ref="D15:E15" si="5">D13-D14</f>
        <v>0</v>
      </c>
      <c r="E15" s="26">
        <f t="shared" si="5"/>
        <v>0</v>
      </c>
      <c r="F15" s="26">
        <f t="shared" ref="F15" si="6">F13-F14</f>
        <v>0</v>
      </c>
      <c r="G15" s="344" t="e">
        <f t="shared" si="0"/>
        <v>#DIV/0!</v>
      </c>
      <c r="H15" s="26"/>
      <c r="I15" s="30">
        <f t="shared" si="1"/>
        <v>-11551472679</v>
      </c>
      <c r="J15" s="26"/>
      <c r="K15" s="26">
        <f t="shared" si="3"/>
        <v>-9807278818</v>
      </c>
      <c r="L15" s="26"/>
      <c r="M15" s="344">
        <f t="shared" si="2"/>
        <v>0.17784687203944444</v>
      </c>
      <c r="N15" s="26"/>
      <c r="O15" s="277">
        <v>11551472679</v>
      </c>
      <c r="P15" s="277">
        <v>0</v>
      </c>
      <c r="Q15" s="277">
        <v>9807278818</v>
      </c>
    </row>
    <row r="16" spans="1:17" s="27" customFormat="1" ht="19.5" customHeight="1">
      <c r="A16" s="14" t="s">
        <v>83</v>
      </c>
      <c r="B16" s="14"/>
      <c r="C16" s="30"/>
      <c r="D16" s="26"/>
      <c r="E16" s="26"/>
      <c r="F16" s="26"/>
      <c r="G16" s="26"/>
      <c r="H16" s="26"/>
      <c r="I16" s="25"/>
      <c r="J16" s="26"/>
      <c r="K16" s="11"/>
      <c r="L16" s="26"/>
      <c r="M16" s="316"/>
      <c r="N16" s="316"/>
      <c r="O16" s="277"/>
      <c r="P16" s="277"/>
      <c r="Q16" s="277"/>
    </row>
    <row r="17" spans="1:17" ht="19.5" customHeight="1">
      <c r="A17" s="10" t="s">
        <v>158</v>
      </c>
      <c r="B17" s="10"/>
      <c r="C17" s="25"/>
      <c r="D17" s="11"/>
      <c r="E17" s="11"/>
      <c r="F17" s="11"/>
      <c r="G17" s="343" t="e">
        <f t="shared" ref="G17:G22" si="7">(C17-E17)/E17</f>
        <v>#DIV/0!</v>
      </c>
      <c r="H17" s="11"/>
      <c r="I17" s="25">
        <f t="shared" ref="I17:I22" si="8">C17-O17</f>
        <v>-1521899875</v>
      </c>
      <c r="J17" s="11"/>
      <c r="K17" s="11">
        <f t="shared" ref="K17:K22" si="9">E17-Q17</f>
        <v>-1122661814</v>
      </c>
      <c r="L17" s="11"/>
      <c r="M17" s="343">
        <f t="shared" ref="M17:M22" si="10">(I17-K17)/K17</f>
        <v>0.35561738719653291</v>
      </c>
      <c r="O17" s="276">
        <v>1521899875</v>
      </c>
      <c r="Q17" s="276">
        <v>1122661814</v>
      </c>
    </row>
    <row r="18" spans="1:17" s="13" customFormat="1" ht="19.5" customHeight="1">
      <c r="A18" s="12" t="s">
        <v>154</v>
      </c>
      <c r="B18" s="12"/>
      <c r="C18" s="25"/>
      <c r="D18" s="11"/>
      <c r="E18" s="11"/>
      <c r="F18" s="11"/>
      <c r="G18" s="343" t="e">
        <f t="shared" si="7"/>
        <v>#DIV/0!</v>
      </c>
      <c r="H18" s="11"/>
      <c r="I18" s="25">
        <f t="shared" si="8"/>
        <v>-260412872</v>
      </c>
      <c r="J18" s="31"/>
      <c r="K18" s="11">
        <f t="shared" si="9"/>
        <v>-243394386</v>
      </c>
      <c r="L18" s="31"/>
      <c r="M18" s="343">
        <f t="shared" si="10"/>
        <v>6.9921440176520758E-2</v>
      </c>
      <c r="N18" s="12"/>
      <c r="O18" s="278">
        <v>260412872</v>
      </c>
      <c r="P18" s="278"/>
      <c r="Q18" s="278">
        <v>243394386</v>
      </c>
    </row>
    <row r="19" spans="1:17" s="13" customFormat="1" ht="19.5" customHeight="1">
      <c r="A19" s="12" t="s">
        <v>84</v>
      </c>
      <c r="B19" s="12"/>
      <c r="C19" s="25"/>
      <c r="D19" s="11"/>
      <c r="E19" s="11"/>
      <c r="F19" s="11"/>
      <c r="G19" s="343" t="e">
        <f t="shared" si="7"/>
        <v>#DIV/0!</v>
      </c>
      <c r="H19" s="11"/>
      <c r="I19" s="25">
        <f t="shared" si="8"/>
        <v>-19863903</v>
      </c>
      <c r="J19" s="31"/>
      <c r="K19" s="11">
        <f t="shared" si="9"/>
        <v>-17531890</v>
      </c>
      <c r="L19" s="31"/>
      <c r="M19" s="343">
        <f t="shared" si="10"/>
        <v>0.1330154934807371</v>
      </c>
      <c r="N19" s="12"/>
      <c r="O19" s="278">
        <v>19863903</v>
      </c>
      <c r="P19" s="278"/>
      <c r="Q19" s="278">
        <v>17531890</v>
      </c>
    </row>
    <row r="20" spans="1:17" s="13" customFormat="1" ht="19.5" customHeight="1">
      <c r="A20" s="12" t="s">
        <v>155</v>
      </c>
      <c r="B20" s="12"/>
      <c r="C20" s="25"/>
      <c r="D20" s="11"/>
      <c r="E20" s="11"/>
      <c r="F20" s="11"/>
      <c r="G20" s="343" t="e">
        <f t="shared" si="7"/>
        <v>#DIV/0!</v>
      </c>
      <c r="H20" s="11"/>
      <c r="I20" s="25">
        <f t="shared" si="8"/>
        <v>-2596617628</v>
      </c>
      <c r="J20" s="31"/>
      <c r="K20" s="11">
        <f t="shared" si="9"/>
        <v>-1938827917</v>
      </c>
      <c r="L20" s="31"/>
      <c r="M20" s="343">
        <f t="shared" si="10"/>
        <v>0.33927183801738087</v>
      </c>
      <c r="N20" s="12"/>
      <c r="O20" s="278">
        <v>2596617628</v>
      </c>
      <c r="P20" s="278"/>
      <c r="Q20" s="278">
        <v>1938827917</v>
      </c>
    </row>
    <row r="21" spans="1:17" ht="19.5" customHeight="1">
      <c r="A21" s="10" t="s">
        <v>85</v>
      </c>
      <c r="B21" s="10"/>
      <c r="C21" s="28"/>
      <c r="D21" s="11"/>
      <c r="E21" s="29"/>
      <c r="F21" s="11"/>
      <c r="G21" s="343" t="e">
        <f t="shared" si="7"/>
        <v>#DIV/0!</v>
      </c>
      <c r="H21" s="11"/>
      <c r="I21" s="28">
        <f t="shared" si="8"/>
        <v>-1919244404</v>
      </c>
      <c r="J21" s="11"/>
      <c r="K21" s="29">
        <f t="shared" si="9"/>
        <v>-1657745227</v>
      </c>
      <c r="L21" s="11"/>
      <c r="M21" s="343">
        <f t="shared" si="10"/>
        <v>0.15774388774638892</v>
      </c>
      <c r="O21" s="318">
        <v>1919244404</v>
      </c>
      <c r="Q21" s="318">
        <v>1657745227</v>
      </c>
    </row>
    <row r="22" spans="1:17" ht="19.5" customHeight="1">
      <c r="A22" s="10" t="s">
        <v>86</v>
      </c>
      <c r="B22" s="10"/>
      <c r="C22" s="28">
        <f>SUM(C17:C21)</f>
        <v>0</v>
      </c>
      <c r="D22" s="11">
        <f t="shared" ref="D22:E22" si="11">SUM(D17:D21)</f>
        <v>0</v>
      </c>
      <c r="E22" s="29">
        <f t="shared" si="11"/>
        <v>0</v>
      </c>
      <c r="F22" s="11">
        <f t="shared" ref="F22" si="12">SUM(F17:F21)</f>
        <v>0</v>
      </c>
      <c r="G22" s="343" t="e">
        <f t="shared" si="7"/>
        <v>#DIV/0!</v>
      </c>
      <c r="H22" s="11"/>
      <c r="I22" s="28">
        <f t="shared" si="8"/>
        <v>-6318038682</v>
      </c>
      <c r="J22" s="11"/>
      <c r="K22" s="29">
        <f t="shared" si="9"/>
        <v>-4980161234</v>
      </c>
      <c r="L22" s="11"/>
      <c r="M22" s="343">
        <f t="shared" si="10"/>
        <v>0.26864139234412587</v>
      </c>
      <c r="N22" s="11"/>
      <c r="O22" s="318">
        <v>6318038682</v>
      </c>
      <c r="P22" s="276">
        <v>0</v>
      </c>
      <c r="Q22" s="318">
        <v>4980161234</v>
      </c>
    </row>
    <row r="23" spans="1:17" ht="19.5" customHeight="1">
      <c r="A23" s="10"/>
      <c r="B23" s="10"/>
      <c r="C23" s="25"/>
      <c r="D23" s="11"/>
      <c r="E23" s="11"/>
      <c r="F23" s="11"/>
      <c r="G23" s="11"/>
      <c r="H23" s="11"/>
      <c r="I23" s="25"/>
      <c r="J23" s="11"/>
      <c r="K23" s="11"/>
      <c r="L23" s="11"/>
      <c r="M23" s="12"/>
    </row>
    <row r="24" spans="1:17" s="27" customFormat="1" ht="19.5" customHeight="1">
      <c r="A24" s="14" t="s">
        <v>87</v>
      </c>
      <c r="B24" s="14"/>
      <c r="C24" s="30">
        <f>C15-C22</f>
        <v>0</v>
      </c>
      <c r="D24" s="26">
        <f t="shared" ref="D24:E24" si="13">D15-D22</f>
        <v>0</v>
      </c>
      <c r="E24" s="26">
        <f t="shared" si="13"/>
        <v>0</v>
      </c>
      <c r="F24" s="26">
        <f t="shared" ref="F24" si="14">F15-F22</f>
        <v>0</v>
      </c>
      <c r="G24" s="344" t="e">
        <f t="shared" ref="G24:G26" si="15">(C24-E24)/E24</f>
        <v>#DIV/0!</v>
      </c>
      <c r="H24" s="26"/>
      <c r="I24" s="30">
        <f>C24-O24</f>
        <v>-5233433997</v>
      </c>
      <c r="J24" s="26"/>
      <c r="K24" s="26">
        <f>E24-Q24</f>
        <v>-4827117584</v>
      </c>
      <c r="L24" s="26"/>
      <c r="M24" s="344">
        <f t="shared" ref="M24:M26" si="16">(I24-K24)/K24</f>
        <v>8.4173713593963279E-2</v>
      </c>
      <c r="N24" s="314"/>
      <c r="O24" s="277">
        <v>5233433997</v>
      </c>
      <c r="P24" s="277">
        <v>0</v>
      </c>
      <c r="Q24" s="277">
        <v>4827117584</v>
      </c>
    </row>
    <row r="25" spans="1:17" ht="19.5" customHeight="1">
      <c r="A25" s="10" t="s">
        <v>88</v>
      </c>
      <c r="B25" s="10"/>
      <c r="C25" s="28"/>
      <c r="D25" s="11"/>
      <c r="E25" s="29"/>
      <c r="F25" s="11"/>
      <c r="G25" s="343" t="e">
        <f t="shared" si="15"/>
        <v>#DIV/0!</v>
      </c>
      <c r="H25" s="11"/>
      <c r="I25" s="28">
        <f>C25-O25</f>
        <v>-302373935</v>
      </c>
      <c r="J25" s="11"/>
      <c r="K25" s="29">
        <f>E25-Q25</f>
        <v>-287607953</v>
      </c>
      <c r="L25" s="11"/>
      <c r="M25" s="343">
        <f t="shared" si="16"/>
        <v>5.1340659554014491E-2</v>
      </c>
      <c r="O25" s="318">
        <v>302373935</v>
      </c>
      <c r="Q25" s="318">
        <v>287607953</v>
      </c>
    </row>
    <row r="26" spans="1:17" s="27" customFormat="1" ht="19.5" customHeight="1">
      <c r="A26" s="14" t="s">
        <v>89</v>
      </c>
      <c r="B26" s="14"/>
      <c r="C26" s="30">
        <f>C24-C25</f>
        <v>0</v>
      </c>
      <c r="D26" s="26">
        <f t="shared" ref="D26:E26" si="17">D24-D25</f>
        <v>0</v>
      </c>
      <c r="E26" s="26">
        <f t="shared" si="17"/>
        <v>0</v>
      </c>
      <c r="F26" s="26">
        <f t="shared" ref="F26" si="18">F24-F25</f>
        <v>0</v>
      </c>
      <c r="G26" s="344" t="e">
        <f t="shared" si="15"/>
        <v>#DIV/0!</v>
      </c>
      <c r="H26" s="26"/>
      <c r="I26" s="30">
        <f>C26-O26</f>
        <v>-4931060062</v>
      </c>
      <c r="J26" s="26"/>
      <c r="K26" s="26">
        <f>E26-Q26</f>
        <v>-4539509631</v>
      </c>
      <c r="L26" s="26"/>
      <c r="M26" s="344">
        <f t="shared" si="16"/>
        <v>8.62539046786307E-2</v>
      </c>
      <c r="N26" s="314"/>
      <c r="O26" s="277">
        <v>4931060062</v>
      </c>
      <c r="P26" s="277">
        <v>0</v>
      </c>
      <c r="Q26" s="277">
        <v>4539509631</v>
      </c>
    </row>
    <row r="27" spans="1:17" s="27" customFormat="1" ht="19.5" customHeight="1">
      <c r="A27" s="14"/>
      <c r="B27" s="14"/>
      <c r="C27" s="30"/>
      <c r="D27" s="26"/>
      <c r="E27" s="26"/>
      <c r="F27" s="26"/>
      <c r="G27" s="26"/>
      <c r="H27" s="26"/>
      <c r="I27" s="25"/>
      <c r="J27" s="26"/>
      <c r="K27" s="11"/>
      <c r="L27" s="26"/>
      <c r="M27" s="314"/>
      <c r="N27" s="314"/>
      <c r="O27" s="277"/>
      <c r="P27" s="277"/>
      <c r="Q27" s="277"/>
    </row>
    <row r="28" spans="1:17" ht="19.5" customHeight="1">
      <c r="A28" s="10" t="s">
        <v>90</v>
      </c>
      <c r="B28" s="10"/>
      <c r="C28" s="25"/>
      <c r="D28" s="11"/>
      <c r="E28" s="11"/>
      <c r="F28" s="11"/>
      <c r="G28" s="343" t="e">
        <f t="shared" ref="G28:G29" si="19">(C28-E28)/E28</f>
        <v>#DIV/0!</v>
      </c>
      <c r="H28" s="11"/>
      <c r="I28" s="25">
        <f>C28-O28</f>
        <v>-1467843545</v>
      </c>
      <c r="J28" s="11"/>
      <c r="K28" s="11">
        <f>E28-Q28</f>
        <v>-1429174884</v>
      </c>
      <c r="L28" s="11"/>
      <c r="M28" s="343">
        <f t="shared" ref="M28:M29" si="20">(I28-K28)/K28</f>
        <v>2.7056633469357834E-2</v>
      </c>
      <c r="O28" s="276">
        <v>1467843545</v>
      </c>
      <c r="Q28" s="276">
        <v>1429174884</v>
      </c>
    </row>
    <row r="29" spans="1:17" s="27" customFormat="1" ht="19.5" customHeight="1" thickBot="1">
      <c r="A29" s="14" t="s">
        <v>149</v>
      </c>
      <c r="B29" s="14"/>
      <c r="C29" s="36">
        <f>C26-C28</f>
        <v>0</v>
      </c>
      <c r="D29" s="26">
        <f t="shared" ref="D29:E29" si="21">D26-D28</f>
        <v>0</v>
      </c>
      <c r="E29" s="37">
        <f t="shared" si="21"/>
        <v>0</v>
      </c>
      <c r="F29" s="26">
        <f t="shared" ref="F29" si="22">F26-F28</f>
        <v>0</v>
      </c>
      <c r="G29" s="344" t="e">
        <f t="shared" si="19"/>
        <v>#DIV/0!</v>
      </c>
      <c r="H29" s="26"/>
      <c r="I29" s="36">
        <f>C29-O29</f>
        <v>-3463216517</v>
      </c>
      <c r="J29" s="26"/>
      <c r="K29" s="37">
        <f>E29-Q29</f>
        <v>-3110334747</v>
      </c>
      <c r="L29" s="26"/>
      <c r="M29" s="344">
        <f t="shared" si="20"/>
        <v>0.11345459531015553</v>
      </c>
      <c r="N29" s="314"/>
      <c r="O29" s="319">
        <v>3463216517</v>
      </c>
      <c r="P29" s="277">
        <v>0</v>
      </c>
      <c r="Q29" s="319">
        <v>3110334747</v>
      </c>
    </row>
    <row r="30" spans="1:17" ht="19.5" customHeight="1" thickTop="1">
      <c r="A30" s="10"/>
      <c r="B30" s="10"/>
      <c r="C30" s="25"/>
      <c r="D30" s="38"/>
      <c r="E30" s="31"/>
      <c r="F30" s="31"/>
      <c r="G30" s="31"/>
      <c r="H30" s="31"/>
      <c r="I30" s="25"/>
      <c r="J30" s="11"/>
      <c r="K30" s="11"/>
      <c r="L30" s="11"/>
      <c r="M30" s="12"/>
    </row>
    <row r="31" spans="1:17" ht="19.5" customHeight="1">
      <c r="A31" s="14" t="s">
        <v>357</v>
      </c>
      <c r="B31" s="10"/>
      <c r="C31" s="25"/>
      <c r="D31" s="11"/>
      <c r="E31" s="11"/>
      <c r="F31" s="11"/>
      <c r="G31" s="11"/>
      <c r="H31" s="11"/>
      <c r="I31" s="25"/>
      <c r="J31" s="11"/>
      <c r="K31" s="11"/>
      <c r="L31" s="11"/>
      <c r="M31" s="12"/>
    </row>
    <row r="32" spans="1:17" ht="19.5" customHeight="1">
      <c r="A32" s="10" t="s">
        <v>402</v>
      </c>
      <c r="B32" s="10"/>
      <c r="C32" s="39">
        <f>C29/(1560000160+19862322)</f>
        <v>0</v>
      </c>
      <c r="D32" s="40"/>
      <c r="E32" s="40">
        <f t="shared" ref="E32:M32" si="23">E29/(1560000160+19862322)</f>
        <v>0</v>
      </c>
      <c r="F32" s="40">
        <f t="shared" si="23"/>
        <v>0</v>
      </c>
      <c r="G32" s="40" t="e">
        <f t="shared" si="23"/>
        <v>#DIV/0!</v>
      </c>
      <c r="H32" s="40"/>
      <c r="I32" s="39">
        <f t="shared" si="23"/>
        <v>-2.1920999811425359</v>
      </c>
      <c r="J32" s="40"/>
      <c r="K32" s="40">
        <f t="shared" si="23"/>
        <v>-1.9687376480151138</v>
      </c>
      <c r="L32" s="40">
        <f t="shared" si="23"/>
        <v>0</v>
      </c>
      <c r="M32" s="40">
        <f t="shared" si="23"/>
        <v>7.1812956255869578E-11</v>
      </c>
      <c r="N32" s="40"/>
    </row>
    <row r="33" spans="1:17" s="41" customFormat="1" ht="19.5" customHeight="1">
      <c r="C33" s="42"/>
      <c r="D33" s="323"/>
      <c r="E33" s="317"/>
      <c r="F33" s="323"/>
      <c r="G33" s="323"/>
      <c r="H33" s="323"/>
      <c r="I33" s="43"/>
      <c r="J33" s="324"/>
      <c r="K33" s="43"/>
      <c r="L33" s="324"/>
      <c r="M33" s="323"/>
      <c r="N33" s="323"/>
      <c r="O33" s="279"/>
      <c r="P33" s="279"/>
      <c r="Q33" s="279"/>
    </row>
    <row r="34" spans="1:17" ht="19.5" customHeight="1">
      <c r="A34" s="9" t="s">
        <v>146</v>
      </c>
      <c r="C34" s="44"/>
      <c r="D34" s="327"/>
      <c r="E34" s="44"/>
      <c r="F34" s="44"/>
      <c r="G34" s="44"/>
      <c r="H34" s="44"/>
      <c r="I34" s="45"/>
      <c r="K34" s="45"/>
      <c r="L34" s="321"/>
      <c r="M34" s="12"/>
    </row>
    <row r="35" spans="1:17" ht="19.5" customHeight="1">
      <c r="A35" s="345" t="s">
        <v>147</v>
      </c>
      <c r="K35" s="45"/>
      <c r="L35" s="45"/>
    </row>
    <row r="36" spans="1:17">
      <c r="A36" s="11"/>
      <c r="B36" s="12"/>
      <c r="C36" s="11"/>
      <c r="D36" s="12"/>
      <c r="E36" s="315"/>
      <c r="F36" s="315"/>
      <c r="G36" s="315"/>
      <c r="H36" s="33"/>
      <c r="I36" s="45"/>
    </row>
    <row r="37" spans="1:17">
      <c r="A37" s="12"/>
      <c r="B37" s="12"/>
      <c r="C37" s="26"/>
      <c r="D37" s="322"/>
      <c r="E37" s="326"/>
      <c r="F37" s="326"/>
      <c r="G37" s="326"/>
      <c r="H37" s="48"/>
      <c r="I37" s="45"/>
      <c r="J37" s="45"/>
      <c r="K37" s="45"/>
      <c r="L37" s="45"/>
    </row>
    <row r="38" spans="1:17">
      <c r="A38" s="12"/>
      <c r="B38" s="12"/>
      <c r="C38" s="11"/>
      <c r="D38" s="12"/>
      <c r="E38" s="50"/>
      <c r="F38" s="50"/>
      <c r="G38" s="50"/>
      <c r="H38" s="49"/>
      <c r="K38" s="45"/>
      <c r="L38" s="45"/>
    </row>
    <row r="39" spans="1:17">
      <c r="A39" s="12"/>
      <c r="B39" s="12"/>
      <c r="C39" s="326"/>
      <c r="D39" s="326"/>
      <c r="E39" s="326"/>
      <c r="F39" s="326"/>
      <c r="G39" s="326"/>
      <c r="H39" s="48"/>
    </row>
    <row r="40" spans="1:17">
      <c r="A40" s="12"/>
      <c r="B40" s="50"/>
      <c r="C40" s="50"/>
      <c r="D40" s="50"/>
      <c r="E40" s="50"/>
      <c r="F40" s="50"/>
      <c r="G40" s="50"/>
      <c r="H40" s="49"/>
      <c r="I40" s="46"/>
      <c r="J40" s="11"/>
      <c r="K40" s="46"/>
      <c r="L40" s="46"/>
    </row>
    <row r="41" spans="1:17">
      <c r="A41" s="12"/>
      <c r="B41" s="12"/>
      <c r="C41" s="11"/>
      <c r="D41" s="11"/>
      <c r="E41" s="50"/>
      <c r="F41" s="50"/>
      <c r="G41" s="50"/>
      <c r="H41" s="50"/>
      <c r="I41" s="46"/>
      <c r="J41" s="11"/>
      <c r="K41" s="46"/>
      <c r="L41" s="46"/>
    </row>
    <row r="42" spans="1:17">
      <c r="A42" s="12"/>
      <c r="B42" s="12"/>
      <c r="C42" s="11"/>
      <c r="D42" s="11"/>
      <c r="E42" s="11"/>
      <c r="F42" s="11"/>
      <c r="G42" s="11"/>
      <c r="H42" s="46"/>
      <c r="I42" s="46"/>
      <c r="J42" s="46"/>
      <c r="K42" s="46"/>
      <c r="L42" s="46"/>
    </row>
    <row r="43" spans="1:17">
      <c r="A43" s="12"/>
      <c r="B43" s="12"/>
      <c r="C43" s="11"/>
      <c r="D43" s="12"/>
      <c r="E43" s="12"/>
      <c r="F43" s="12"/>
      <c r="G43" s="12"/>
    </row>
    <row r="44" spans="1:17">
      <c r="A44" s="12"/>
      <c r="B44" s="12"/>
      <c r="C44" s="11"/>
      <c r="D44" s="12"/>
      <c r="E44" s="12"/>
      <c r="F44" s="12"/>
      <c r="G44" s="12"/>
    </row>
    <row r="45" spans="1:17">
      <c r="A45" s="12"/>
      <c r="B45" s="12"/>
      <c r="C45" s="11"/>
      <c r="D45" s="12"/>
      <c r="E45" s="12"/>
      <c r="F45" s="12"/>
      <c r="G45" s="12"/>
    </row>
  </sheetData>
  <mergeCells count="3">
    <mergeCell ref="A1:M1"/>
    <mergeCell ref="C3:G3"/>
    <mergeCell ref="I3:K3"/>
  </mergeCells>
  <pageMargins left="0.44" right="0.24" top="0.75" bottom="0.75" header="0.3" footer="0.3"/>
  <pageSetup paperSize="9" scale="67" orientation="portrait" r:id="rId1"/>
</worksheet>
</file>

<file path=xl/worksheets/sheet31.xml><?xml version="1.0" encoding="utf-8"?>
<worksheet xmlns="http://schemas.openxmlformats.org/spreadsheetml/2006/main" xmlns:r="http://schemas.openxmlformats.org/officeDocument/2006/relationships">
  <sheetPr>
    <tabColor rgb="FF00B050"/>
    <pageSetUpPr fitToPage="1"/>
  </sheetPr>
  <dimension ref="A1:O21"/>
  <sheetViews>
    <sheetView view="pageBreakPreview" zoomScale="80" zoomScaleSheetLayoutView="80" workbookViewId="0">
      <pane xSplit="1" ySplit="4" topLeftCell="B5" activePane="bottomRight" state="frozen"/>
      <selection activeCell="C8" sqref="C8"/>
      <selection pane="topRight" activeCell="C8" sqref="C8"/>
      <selection pane="bottomLeft" activeCell="C8" sqref="C8"/>
      <selection pane="bottomRight" activeCell="C8" sqref="C8"/>
    </sheetView>
  </sheetViews>
  <sheetFormatPr defaultColWidth="9.140625" defaultRowHeight="15.75"/>
  <cols>
    <col min="1" max="1" width="55.7109375" style="9" customWidth="1"/>
    <col min="2" max="2" width="16.5703125" style="9" customWidth="1"/>
    <col min="3" max="3" width="0.85546875" style="9" customWidth="1"/>
    <col min="4" max="4" width="16.42578125" style="9" customWidth="1"/>
    <col min="5" max="5" width="1.28515625" style="9" customWidth="1"/>
    <col min="6" max="6" width="10.7109375" style="9" customWidth="1"/>
    <col min="7" max="7" width="0.85546875" style="9" customWidth="1"/>
    <col min="8" max="8" width="16.42578125" style="9" customWidth="1"/>
    <col min="9" max="9" width="0.85546875" style="9" customWidth="1"/>
    <col min="10" max="10" width="16.7109375" style="9" customWidth="1"/>
    <col min="11" max="11" width="0.85546875" style="9" customWidth="1"/>
    <col min="12" max="12" width="10.7109375" style="9" customWidth="1"/>
    <col min="13" max="13" width="18.140625" style="276" bestFit="1" customWidth="1"/>
    <col min="14" max="14" width="3.42578125" style="276" customWidth="1"/>
    <col min="15" max="15" width="18.140625" style="276" bestFit="1" customWidth="1"/>
    <col min="16" max="16384" width="9.140625" style="9"/>
  </cols>
  <sheetData>
    <row r="1" spans="1:15" ht="19.5" customHeight="1">
      <c r="A1" s="1782" t="s">
        <v>550</v>
      </c>
      <c r="B1" s="1782"/>
      <c r="C1" s="1782"/>
      <c r="D1" s="1782"/>
      <c r="E1" s="1782"/>
      <c r="F1" s="1782"/>
      <c r="G1" s="1782"/>
      <c r="H1" s="1782"/>
      <c r="I1" s="1782"/>
      <c r="J1" s="1782"/>
      <c r="K1" s="1782"/>
      <c r="L1" s="1782"/>
    </row>
    <row r="2" spans="1:15" ht="15.75" customHeight="1">
      <c r="A2" s="10"/>
      <c r="B2" s="10"/>
      <c r="C2" s="10"/>
      <c r="D2" s="10"/>
      <c r="E2" s="10"/>
      <c r="F2" s="10"/>
      <c r="G2" s="10"/>
      <c r="H2" s="10"/>
      <c r="I2" s="10"/>
      <c r="J2" s="10"/>
    </row>
    <row r="3" spans="1:15" ht="16.5" thickBot="1">
      <c r="A3" s="14"/>
      <c r="B3" s="1784" t="s">
        <v>15</v>
      </c>
      <c r="C3" s="1784"/>
      <c r="D3" s="1784"/>
      <c r="E3" s="1784"/>
      <c r="F3" s="1784"/>
      <c r="G3" s="15"/>
      <c r="H3" s="1784" t="s">
        <v>13</v>
      </c>
      <c r="I3" s="1784"/>
      <c r="J3" s="1784"/>
      <c r="K3" s="1784"/>
      <c r="L3" s="1784"/>
    </row>
    <row r="4" spans="1:15">
      <c r="A4" s="14" t="s">
        <v>156</v>
      </c>
      <c r="B4" s="18" t="str">
        <f>'P &amp; L (C &amp; G)'!C4</f>
        <v>2014</v>
      </c>
      <c r="C4" s="19"/>
      <c r="D4" s="20" t="str">
        <f>'P &amp; L (C &amp; G)'!E4</f>
        <v>2013</v>
      </c>
      <c r="E4" s="20"/>
      <c r="F4" s="52" t="s">
        <v>151</v>
      </c>
      <c r="G4" s="52"/>
      <c r="H4" s="18" t="str">
        <f>B4</f>
        <v>2014</v>
      </c>
      <c r="I4" s="19"/>
      <c r="J4" s="20" t="str">
        <f>D4</f>
        <v>2013</v>
      </c>
      <c r="K4" s="14"/>
      <c r="L4" s="52" t="s">
        <v>151</v>
      </c>
      <c r="M4" s="1174" t="s">
        <v>429</v>
      </c>
      <c r="N4" s="1174"/>
      <c r="O4" s="1174" t="s">
        <v>53</v>
      </c>
    </row>
    <row r="5" spans="1:15">
      <c r="A5" s="14"/>
      <c r="B5" s="18" t="s">
        <v>19</v>
      </c>
      <c r="C5" s="51"/>
      <c r="D5" s="51" t="s">
        <v>19</v>
      </c>
      <c r="E5" s="51"/>
      <c r="F5" s="52" t="s">
        <v>28</v>
      </c>
      <c r="G5" s="52"/>
      <c r="H5" s="18" t="s">
        <v>19</v>
      </c>
      <c r="I5" s="51"/>
      <c r="J5" s="51" t="s">
        <v>19</v>
      </c>
      <c r="K5" s="14"/>
      <c r="L5" s="52" t="s">
        <v>28</v>
      </c>
    </row>
    <row r="6" spans="1:15" ht="16.5" thickBot="1">
      <c r="A6" s="21"/>
      <c r="B6" s="22" t="s">
        <v>148</v>
      </c>
      <c r="C6" s="23"/>
      <c r="D6" s="23" t="s">
        <v>148</v>
      </c>
      <c r="E6" s="23"/>
      <c r="F6" s="53"/>
      <c r="G6" s="53"/>
      <c r="H6" s="22" t="s">
        <v>148</v>
      </c>
      <c r="I6" s="23"/>
      <c r="J6" s="23" t="s">
        <v>148</v>
      </c>
      <c r="K6" s="21"/>
      <c r="L6" s="17"/>
    </row>
    <row r="7" spans="1:15" ht="19.5" customHeight="1">
      <c r="A7" s="10"/>
      <c r="B7" s="54"/>
      <c r="C7" s="10"/>
      <c r="D7" s="10"/>
      <c r="E7" s="10"/>
      <c r="F7" s="10"/>
      <c r="G7" s="10"/>
      <c r="H7" s="54"/>
      <c r="I7" s="10"/>
      <c r="J7" s="10"/>
      <c r="K7" s="10"/>
      <c r="L7" s="10"/>
    </row>
    <row r="8" spans="1:15" s="27" customFormat="1" ht="19.5" customHeight="1">
      <c r="A8" s="14" t="s">
        <v>157</v>
      </c>
      <c r="B8" s="30">
        <f>'P &amp; L (C &amp; G)'!C36</f>
        <v>1746988861.9799995</v>
      </c>
      <c r="C8" s="55"/>
      <c r="D8" s="55">
        <f>'P &amp; L (C &amp; G)'!E36</f>
        <v>1404353456.1529999</v>
      </c>
      <c r="E8" s="55"/>
      <c r="F8" s="343">
        <f>(B8-D8)/D8</f>
        <v>0.24398088980077293</v>
      </c>
      <c r="G8" s="55"/>
      <c r="H8" s="30">
        <f>'P &amp; L (C &amp; G)'!I36</f>
        <v>1873565599.7700005</v>
      </c>
      <c r="I8" s="55"/>
      <c r="J8" s="55">
        <f>'P &amp; L (C &amp; G)'!K36</f>
        <v>1467012043.823</v>
      </c>
      <c r="K8" s="14"/>
      <c r="L8" s="343">
        <f t="shared" ref="L8" si="0">(H8-J8)/J8</f>
        <v>0.27713034644728013</v>
      </c>
      <c r="M8" s="277">
        <v>3123745175</v>
      </c>
      <c r="N8" s="277"/>
      <c r="O8" s="277">
        <v>2849961601</v>
      </c>
    </row>
    <row r="9" spans="1:15" ht="19.5" customHeight="1">
      <c r="A9" s="10"/>
      <c r="B9" s="54"/>
      <c r="C9" s="10"/>
      <c r="D9" s="10"/>
      <c r="E9" s="10"/>
      <c r="F9" s="10"/>
      <c r="G9" s="10"/>
      <c r="H9" s="30"/>
      <c r="I9" s="55"/>
      <c r="J9" s="55"/>
      <c r="K9" s="10"/>
      <c r="L9" s="10"/>
    </row>
    <row r="10" spans="1:15" s="27" customFormat="1" ht="19.5" customHeight="1">
      <c r="A10" s="14" t="s">
        <v>160</v>
      </c>
      <c r="B10" s="56"/>
      <c r="C10" s="14"/>
      <c r="D10" s="14"/>
      <c r="E10" s="14"/>
      <c r="F10" s="14"/>
      <c r="G10" s="14"/>
      <c r="H10" s="30"/>
      <c r="I10" s="55"/>
      <c r="J10" s="55"/>
      <c r="K10" s="14"/>
      <c r="L10" s="14"/>
      <c r="M10" s="277"/>
      <c r="N10" s="277"/>
      <c r="O10" s="277"/>
    </row>
    <row r="11" spans="1:15" s="27" customFormat="1" ht="19.5" customHeight="1">
      <c r="A11" s="10" t="s">
        <v>434</v>
      </c>
      <c r="B11" s="411">
        <v>0</v>
      </c>
      <c r="C11" s="14"/>
      <c r="D11" s="181">
        <v>0</v>
      </c>
      <c r="E11" s="181"/>
      <c r="F11" s="93">
        <v>0</v>
      </c>
      <c r="G11" s="14"/>
      <c r="H11" s="30">
        <v>0</v>
      </c>
      <c r="I11" s="55"/>
      <c r="J11" s="55">
        <f>D11-O11</f>
        <v>0</v>
      </c>
      <c r="K11" s="14"/>
      <c r="L11" s="93">
        <v>0</v>
      </c>
      <c r="M11" s="277">
        <v>-57236020</v>
      </c>
      <c r="N11" s="277"/>
      <c r="O11" s="277">
        <v>0</v>
      </c>
    </row>
    <row r="12" spans="1:15" s="27" customFormat="1" ht="19.5" customHeight="1">
      <c r="A12" s="10" t="s">
        <v>435</v>
      </c>
      <c r="B12" s="411">
        <v>-58957007</v>
      </c>
      <c r="C12" s="14"/>
      <c r="D12" s="181">
        <v>0</v>
      </c>
      <c r="E12" s="181"/>
      <c r="F12" s="343" t="e">
        <f t="shared" ref="F12:F16" si="1">(B12-D12)/D12</f>
        <v>#DIV/0!</v>
      </c>
      <c r="G12" s="14"/>
      <c r="H12" s="30">
        <v>-58957007</v>
      </c>
      <c r="I12" s="55"/>
      <c r="J12" s="55">
        <f>D12-O12</f>
        <v>0</v>
      </c>
      <c r="K12" s="14"/>
      <c r="L12" s="343" t="e">
        <f t="shared" ref="L12:L14" si="2">(H12-J12)/J12</f>
        <v>#DIV/0!</v>
      </c>
      <c r="M12" s="277">
        <v>652503</v>
      </c>
      <c r="N12" s="277"/>
      <c r="O12" s="277">
        <v>0</v>
      </c>
    </row>
    <row r="13" spans="1:15" s="62" customFormat="1" ht="33" customHeight="1">
      <c r="A13" s="58" t="s">
        <v>162</v>
      </c>
      <c r="B13" s="415">
        <v>150811609</v>
      </c>
      <c r="C13" s="60"/>
      <c r="D13" s="60">
        <v>6162008</v>
      </c>
      <c r="E13" s="60"/>
      <c r="F13" s="343">
        <f t="shared" si="1"/>
        <v>23.474426031254747</v>
      </c>
      <c r="G13" s="60"/>
      <c r="H13" s="30">
        <v>159322441</v>
      </c>
      <c r="I13" s="38"/>
      <c r="J13" s="55">
        <v>1584062</v>
      </c>
      <c r="K13" s="61"/>
      <c r="L13" s="343">
        <f t="shared" si="2"/>
        <v>99.578412334870734</v>
      </c>
      <c r="M13" s="5">
        <v>64887973</v>
      </c>
      <c r="N13" s="5"/>
      <c r="O13" s="5">
        <v>-29608005</v>
      </c>
    </row>
    <row r="14" spans="1:15" ht="32.25" customHeight="1">
      <c r="A14" s="57" t="s">
        <v>93</v>
      </c>
      <c r="B14" s="332">
        <v>0</v>
      </c>
      <c r="C14" s="38"/>
      <c r="D14" s="63">
        <v>0</v>
      </c>
      <c r="E14" s="38"/>
      <c r="F14" s="93">
        <v>0</v>
      </c>
      <c r="G14" s="38"/>
      <c r="H14" s="332">
        <v>0</v>
      </c>
      <c r="I14" s="55"/>
      <c r="J14" s="64">
        <v>-1472975</v>
      </c>
      <c r="K14" s="10"/>
      <c r="L14" s="343">
        <f t="shared" si="2"/>
        <v>-1</v>
      </c>
      <c r="M14" s="276">
        <v>-16026086</v>
      </c>
      <c r="O14" s="276">
        <v>0</v>
      </c>
    </row>
    <row r="15" spans="1:15" s="27" customFormat="1" ht="19.5" customHeight="1">
      <c r="A15" s="14" t="s">
        <v>161</v>
      </c>
      <c r="B15" s="30">
        <f>B11+B12+B13-B14</f>
        <v>91854602</v>
      </c>
      <c r="C15" s="55"/>
      <c r="D15" s="26">
        <f>D11+D12+D13-D14</f>
        <v>6162008</v>
      </c>
      <c r="E15" s="26"/>
      <c r="F15" s="343">
        <f t="shared" si="1"/>
        <v>13.906602198504125</v>
      </c>
      <c r="G15" s="55"/>
      <c r="H15" s="30">
        <f>H11+H12+H13-H14</f>
        <v>100365434</v>
      </c>
      <c r="I15" s="55"/>
      <c r="J15" s="26">
        <f>J11+J12+J13-J14</f>
        <v>3057037</v>
      </c>
      <c r="K15" s="14"/>
      <c r="L15" s="14"/>
      <c r="M15" s="277">
        <v>24330542</v>
      </c>
      <c r="N15" s="277"/>
      <c r="O15" s="277">
        <v>-29608005</v>
      </c>
    </row>
    <row r="16" spans="1:15" s="27" customFormat="1" ht="19.5" customHeight="1" thickBot="1">
      <c r="A16" s="14" t="s">
        <v>159</v>
      </c>
      <c r="B16" s="66">
        <f>B8+B15</f>
        <v>1838843463.9799995</v>
      </c>
      <c r="C16" s="67"/>
      <c r="D16" s="68">
        <f>D8+D15</f>
        <v>1410515464.1529999</v>
      </c>
      <c r="E16" s="67"/>
      <c r="F16" s="343">
        <f t="shared" si="1"/>
        <v>0.30366770922586533</v>
      </c>
      <c r="G16" s="67"/>
      <c r="H16" s="66">
        <f>H8+H15</f>
        <v>1973931033.7700005</v>
      </c>
      <c r="I16" s="55"/>
      <c r="J16" s="68">
        <f>J8+J15</f>
        <v>1470069080.823</v>
      </c>
      <c r="K16" s="14"/>
      <c r="L16" s="14"/>
      <c r="M16" s="277">
        <v>3148075717</v>
      </c>
      <c r="N16" s="277"/>
      <c r="O16" s="277">
        <v>2820353596</v>
      </c>
    </row>
    <row r="17" spans="1:15" s="27" customFormat="1" ht="19.5" customHeight="1">
      <c r="A17" s="14"/>
      <c r="B17" s="71"/>
      <c r="C17" s="67"/>
      <c r="D17" s="67"/>
      <c r="E17" s="67"/>
      <c r="F17" s="67"/>
      <c r="G17" s="67"/>
      <c r="H17" s="30"/>
      <c r="I17" s="55"/>
      <c r="J17" s="55"/>
      <c r="K17" s="14"/>
      <c r="L17" s="14"/>
      <c r="M17" s="277"/>
      <c r="N17" s="277"/>
      <c r="O17" s="277"/>
    </row>
    <row r="18" spans="1:15">
      <c r="A18" s="9" t="s">
        <v>146</v>
      </c>
    </row>
    <row r="19" spans="1:15">
      <c r="A19" s="11" t="s">
        <v>147</v>
      </c>
      <c r="O19" s="276">
        <v>584062</v>
      </c>
    </row>
    <row r="21" spans="1:15">
      <c r="O21" s="276">
        <f>J13+J14</f>
        <v>111087</v>
      </c>
    </row>
  </sheetData>
  <mergeCells count="3">
    <mergeCell ref="A1:L1"/>
    <mergeCell ref="B3:F3"/>
    <mergeCell ref="H3:L3"/>
  </mergeCells>
  <pageMargins left="0.55000000000000004" right="0.28999999999999998" top="0.75" bottom="0.75" header="0.3" footer="0.3"/>
  <pageSetup scale="67" orientation="portrait" r:id="rId1"/>
</worksheet>
</file>

<file path=xl/worksheets/sheet32.xml><?xml version="1.0" encoding="utf-8"?>
<worksheet xmlns="http://schemas.openxmlformats.org/spreadsheetml/2006/main" xmlns:r="http://schemas.openxmlformats.org/officeDocument/2006/relationships">
  <sheetPr>
    <tabColor rgb="FF00B050"/>
    <pageSetUpPr fitToPage="1"/>
  </sheetPr>
  <dimension ref="A1:O19"/>
  <sheetViews>
    <sheetView view="pageBreakPreview" zoomScale="80" zoomScaleSheetLayoutView="80" workbookViewId="0">
      <pane xSplit="1" ySplit="4" topLeftCell="B5" activePane="bottomRight" state="frozen"/>
      <selection activeCell="B12" sqref="B12"/>
      <selection pane="topRight" activeCell="B12" sqref="B12"/>
      <selection pane="bottomLeft" activeCell="B12" sqref="B12"/>
      <selection pane="bottomRight" activeCell="B12" sqref="B12"/>
    </sheetView>
  </sheetViews>
  <sheetFormatPr defaultColWidth="9.140625" defaultRowHeight="15.75"/>
  <cols>
    <col min="1" max="1" width="55.7109375" style="9" customWidth="1"/>
    <col min="2" max="2" width="16.5703125" style="9" customWidth="1"/>
    <col min="3" max="3" width="0.85546875" style="9" customWidth="1"/>
    <col min="4" max="4" width="16.42578125" style="9" customWidth="1"/>
    <col min="5" max="5" width="1.28515625" style="9" customWidth="1"/>
    <col min="6" max="6" width="10.7109375" style="9" customWidth="1"/>
    <col min="7" max="7" width="0.85546875" style="9" customWidth="1"/>
    <col min="8" max="8" width="16.42578125" style="9" customWidth="1"/>
    <col min="9" max="9" width="0.85546875" style="9" customWidth="1"/>
    <col min="10" max="10" width="16" style="9" customWidth="1"/>
    <col min="11" max="11" width="0.85546875" style="9" customWidth="1"/>
    <col min="12" max="12" width="10.7109375" style="9" customWidth="1"/>
    <col min="13" max="13" width="18.140625" style="276" bestFit="1" customWidth="1"/>
    <col min="14" max="14" width="3.42578125" style="276" customWidth="1"/>
    <col min="15" max="15" width="18.140625" style="276" bestFit="1" customWidth="1"/>
    <col min="16" max="16384" width="9.140625" style="9"/>
  </cols>
  <sheetData>
    <row r="1" spans="1:15" ht="19.5" customHeight="1">
      <c r="A1" s="1782" t="s">
        <v>355</v>
      </c>
      <c r="B1" s="1782"/>
      <c r="C1" s="1782"/>
      <c r="D1" s="1782"/>
      <c r="E1" s="1782"/>
      <c r="F1" s="1782"/>
      <c r="G1" s="1782"/>
      <c r="H1" s="1782"/>
      <c r="I1" s="1782"/>
      <c r="J1" s="1782"/>
      <c r="K1" s="1782"/>
      <c r="L1" s="1782"/>
    </row>
    <row r="2" spans="1:15" ht="15.75" customHeight="1">
      <c r="A2" s="10"/>
      <c r="B2" s="10"/>
      <c r="C2" s="10"/>
      <c r="D2" s="10"/>
      <c r="E2" s="10"/>
      <c r="F2" s="10"/>
      <c r="G2" s="10"/>
      <c r="H2" s="10"/>
      <c r="I2" s="10"/>
      <c r="J2" s="10"/>
    </row>
    <row r="3" spans="1:15" ht="16.5" thickBot="1">
      <c r="A3" s="14"/>
      <c r="B3" s="1784" t="s">
        <v>407</v>
      </c>
      <c r="C3" s="1784"/>
      <c r="D3" s="1784"/>
      <c r="E3" s="1784"/>
      <c r="F3" s="1784"/>
      <c r="G3" s="15"/>
      <c r="H3" s="1784" t="s">
        <v>351</v>
      </c>
      <c r="I3" s="1784"/>
      <c r="J3" s="1784"/>
      <c r="K3" s="1784"/>
      <c r="L3" s="1784"/>
    </row>
    <row r="4" spans="1:15">
      <c r="A4" s="14"/>
      <c r="B4" s="18" t="e">
        <f>#REF!</f>
        <v>#REF!</v>
      </c>
      <c r="C4" s="19"/>
      <c r="D4" s="20" t="e">
        <f>#REF!</f>
        <v>#REF!</v>
      </c>
      <c r="E4" s="20"/>
      <c r="F4" s="52" t="s">
        <v>151</v>
      </c>
      <c r="G4" s="52"/>
      <c r="H4" s="18" t="e">
        <f>B4</f>
        <v>#REF!</v>
      </c>
      <c r="I4" s="19"/>
      <c r="J4" s="20" t="e">
        <f>D4</f>
        <v>#REF!</v>
      </c>
      <c r="K4" s="14"/>
      <c r="L4" s="52" t="s">
        <v>151</v>
      </c>
      <c r="M4" s="330" t="s">
        <v>429</v>
      </c>
      <c r="N4" s="330"/>
      <c r="O4" s="330" t="s">
        <v>53</v>
      </c>
    </row>
    <row r="5" spans="1:15">
      <c r="A5" s="14"/>
      <c r="B5" s="18" t="s">
        <v>19</v>
      </c>
      <c r="C5" s="51"/>
      <c r="D5" s="51" t="s">
        <v>19</v>
      </c>
      <c r="E5" s="51"/>
      <c r="F5" s="52" t="s">
        <v>28</v>
      </c>
      <c r="G5" s="52"/>
      <c r="H5" s="18" t="s">
        <v>19</v>
      </c>
      <c r="I5" s="51"/>
      <c r="J5" s="51" t="s">
        <v>19</v>
      </c>
      <c r="K5" s="14"/>
      <c r="L5" s="52" t="s">
        <v>28</v>
      </c>
    </row>
    <row r="6" spans="1:15" ht="16.5" thickBot="1">
      <c r="A6" s="21"/>
      <c r="B6" s="22" t="s">
        <v>148</v>
      </c>
      <c r="C6" s="23"/>
      <c r="D6" s="23" t="s">
        <v>148</v>
      </c>
      <c r="E6" s="23"/>
      <c r="F6" s="53"/>
      <c r="G6" s="53"/>
      <c r="H6" s="22" t="s">
        <v>148</v>
      </c>
      <c r="I6" s="23"/>
      <c r="J6" s="23" t="s">
        <v>148</v>
      </c>
      <c r="K6" s="21"/>
      <c r="L6" s="17"/>
    </row>
    <row r="7" spans="1:15" ht="19.5" customHeight="1">
      <c r="A7" s="10"/>
      <c r="B7" s="54"/>
      <c r="C7" s="10"/>
      <c r="D7" s="10"/>
      <c r="E7" s="10"/>
      <c r="F7" s="10"/>
      <c r="G7" s="10"/>
      <c r="H7" s="54"/>
      <c r="I7" s="10"/>
      <c r="J7" s="10"/>
      <c r="K7" s="10"/>
      <c r="L7" s="10"/>
    </row>
    <row r="8" spans="1:15" s="27" customFormat="1" ht="19.5" customHeight="1">
      <c r="A8" s="14" t="s">
        <v>157</v>
      </c>
      <c r="B8" s="30">
        <f>'P &amp; L (company)'!C28</f>
        <v>0</v>
      </c>
      <c r="C8" s="55"/>
      <c r="D8" s="55">
        <f>'P &amp; L (company)'!E28</f>
        <v>0</v>
      </c>
      <c r="E8" s="55"/>
      <c r="F8" s="343" t="e">
        <f>(B8-D8)/D8</f>
        <v>#DIV/0!</v>
      </c>
      <c r="G8" s="55"/>
      <c r="H8" s="30">
        <f>B8-M8</f>
        <v>-3123745175</v>
      </c>
      <c r="I8" s="55"/>
      <c r="J8" s="55">
        <f>D8-O8</f>
        <v>-2849961601</v>
      </c>
      <c r="K8" s="14"/>
      <c r="L8" s="343">
        <f t="shared" ref="L8" si="0">(H8-J8)/J8</f>
        <v>9.6065706255106839E-2</v>
      </c>
      <c r="M8" s="277">
        <v>3123745175</v>
      </c>
      <c r="N8" s="277"/>
      <c r="O8" s="277">
        <v>2849961601</v>
      </c>
    </row>
    <row r="9" spans="1:15" ht="19.5" customHeight="1">
      <c r="A9" s="10"/>
      <c r="B9" s="54"/>
      <c r="C9" s="10"/>
      <c r="D9" s="10"/>
      <c r="E9" s="10"/>
      <c r="F9" s="10"/>
      <c r="G9" s="10"/>
      <c r="H9" s="30"/>
      <c r="I9" s="55"/>
      <c r="J9" s="55"/>
      <c r="K9" s="10"/>
      <c r="L9" s="10"/>
    </row>
    <row r="10" spans="1:15" s="27" customFormat="1" ht="19.5" customHeight="1">
      <c r="A10" s="14" t="s">
        <v>160</v>
      </c>
      <c r="B10" s="56"/>
      <c r="C10" s="14"/>
      <c r="D10" s="14"/>
      <c r="E10" s="14"/>
      <c r="F10" s="14"/>
      <c r="G10" s="14"/>
      <c r="H10" s="30"/>
      <c r="I10" s="55"/>
      <c r="J10" s="55"/>
      <c r="K10" s="14"/>
      <c r="L10" s="14"/>
      <c r="M10" s="277"/>
      <c r="N10" s="277"/>
      <c r="O10" s="277"/>
    </row>
    <row r="11" spans="1:15" s="27" customFormat="1" ht="19.5" customHeight="1">
      <c r="A11" s="10" t="s">
        <v>434</v>
      </c>
      <c r="B11" s="411"/>
      <c r="C11" s="14"/>
      <c r="D11" s="181">
        <v>0</v>
      </c>
      <c r="E11" s="181"/>
      <c r="F11" s="343" t="e">
        <f t="shared" ref="F11:F16" si="1">(B11-D11)/D11</f>
        <v>#DIV/0!</v>
      </c>
      <c r="G11" s="14"/>
      <c r="H11" s="30">
        <f>B11-M11</f>
        <v>57236020</v>
      </c>
      <c r="I11" s="55"/>
      <c r="J11" s="55">
        <f>D11-O11</f>
        <v>0</v>
      </c>
      <c r="K11" s="14"/>
      <c r="L11" s="343" t="e">
        <f t="shared" ref="L11:L14" si="2">(H11-J11)/J11</f>
        <v>#DIV/0!</v>
      </c>
      <c r="M11" s="277">
        <v>-57236020</v>
      </c>
      <c r="N11" s="277"/>
      <c r="O11" s="277">
        <v>0</v>
      </c>
    </row>
    <row r="12" spans="1:15" s="27" customFormat="1" ht="19.5" customHeight="1">
      <c r="A12" s="10" t="s">
        <v>435</v>
      </c>
      <c r="B12" s="411"/>
      <c r="C12" s="14"/>
      <c r="D12" s="181">
        <v>0</v>
      </c>
      <c r="E12" s="181"/>
      <c r="F12" s="343" t="e">
        <f t="shared" si="1"/>
        <v>#DIV/0!</v>
      </c>
      <c r="G12" s="14"/>
      <c r="H12" s="30">
        <f>B12-M12</f>
        <v>-652503</v>
      </c>
      <c r="I12" s="55"/>
      <c r="J12" s="55">
        <f>D12-O12</f>
        <v>0</v>
      </c>
      <c r="K12" s="14"/>
      <c r="L12" s="343" t="e">
        <f t="shared" si="2"/>
        <v>#DIV/0!</v>
      </c>
      <c r="M12" s="277">
        <v>652503</v>
      </c>
      <c r="N12" s="277"/>
      <c r="O12" s="277">
        <v>0</v>
      </c>
    </row>
    <row r="13" spans="1:15" s="62" customFormat="1" ht="33" customHeight="1">
      <c r="A13" s="58" t="s">
        <v>162</v>
      </c>
      <c r="B13" s="415"/>
      <c r="C13" s="60"/>
      <c r="D13" s="60"/>
      <c r="E13" s="60"/>
      <c r="F13" s="343" t="e">
        <f t="shared" si="1"/>
        <v>#DIV/0!</v>
      </c>
      <c r="G13" s="60"/>
      <c r="H13" s="30">
        <f>B13-M13</f>
        <v>-64887973</v>
      </c>
      <c r="I13" s="38"/>
      <c r="J13" s="55">
        <f>D13-O13</f>
        <v>29608005</v>
      </c>
      <c r="K13" s="61"/>
      <c r="L13" s="343">
        <f t="shared" si="2"/>
        <v>-3.1915685639745064</v>
      </c>
      <c r="M13" s="5">
        <v>64887973</v>
      </c>
      <c r="N13" s="5"/>
      <c r="O13" s="5">
        <v>-29608005</v>
      </c>
    </row>
    <row r="14" spans="1:15" ht="32.25" customHeight="1">
      <c r="A14" s="57" t="s">
        <v>93</v>
      </c>
      <c r="B14" s="332"/>
      <c r="C14" s="38"/>
      <c r="D14" s="63">
        <v>0</v>
      </c>
      <c r="E14" s="38"/>
      <c r="F14" s="343" t="e">
        <f t="shared" si="1"/>
        <v>#DIV/0!</v>
      </c>
      <c r="G14" s="38"/>
      <c r="H14" s="332">
        <f>M14-B14</f>
        <v>-16026086</v>
      </c>
      <c r="I14" s="55"/>
      <c r="J14" s="64">
        <f>O14-D14</f>
        <v>0</v>
      </c>
      <c r="K14" s="10"/>
      <c r="L14" s="343" t="e">
        <f t="shared" si="2"/>
        <v>#DIV/0!</v>
      </c>
      <c r="M14" s="276">
        <v>-16026086</v>
      </c>
      <c r="O14" s="276">
        <v>0</v>
      </c>
    </row>
    <row r="15" spans="1:15" s="27" customFormat="1" ht="19.5" customHeight="1">
      <c r="A15" s="14" t="s">
        <v>161</v>
      </c>
      <c r="B15" s="30">
        <f>B11+B12+B13-B14</f>
        <v>0</v>
      </c>
      <c r="C15" s="55"/>
      <c r="D15" s="26">
        <f>D11+D12+D13-D14</f>
        <v>0</v>
      </c>
      <c r="E15" s="26"/>
      <c r="F15" s="343" t="e">
        <f t="shared" si="1"/>
        <v>#DIV/0!</v>
      </c>
      <c r="G15" s="55"/>
      <c r="H15" s="30">
        <f>H11+H12+H13-H14</f>
        <v>7721630</v>
      </c>
      <c r="I15" s="55"/>
      <c r="J15" s="26">
        <f>J11+J12+J13-J14</f>
        <v>29608005</v>
      </c>
      <c r="K15" s="14"/>
      <c r="L15" s="14"/>
      <c r="M15" s="277">
        <v>24330542</v>
      </c>
      <c r="N15" s="277"/>
      <c r="O15" s="277">
        <v>-29608005</v>
      </c>
    </row>
    <row r="16" spans="1:15" s="27" customFormat="1" ht="19.5" customHeight="1" thickBot="1">
      <c r="A16" s="14" t="s">
        <v>159</v>
      </c>
      <c r="B16" s="66">
        <f>B8+B15</f>
        <v>0</v>
      </c>
      <c r="C16" s="67"/>
      <c r="D16" s="68">
        <f>D8+D15</f>
        <v>0</v>
      </c>
      <c r="E16" s="67"/>
      <c r="F16" s="343" t="e">
        <f t="shared" si="1"/>
        <v>#DIV/0!</v>
      </c>
      <c r="G16" s="67"/>
      <c r="H16" s="66">
        <f>H8+H15</f>
        <v>-3116023545</v>
      </c>
      <c r="I16" s="55"/>
      <c r="J16" s="331">
        <f>D16-O16</f>
        <v>-2820353596</v>
      </c>
      <c r="K16" s="14"/>
      <c r="L16" s="14"/>
      <c r="M16" s="277">
        <v>3148075717</v>
      </c>
      <c r="N16" s="277"/>
      <c r="O16" s="277">
        <v>2820353596</v>
      </c>
    </row>
    <row r="17" spans="1:15" s="27" customFormat="1" ht="19.5" customHeight="1">
      <c r="A17" s="14"/>
      <c r="B17" s="71"/>
      <c r="C17" s="67"/>
      <c r="D17" s="67"/>
      <c r="E17" s="67"/>
      <c r="F17" s="67"/>
      <c r="G17" s="67"/>
      <c r="H17" s="30"/>
      <c r="I17" s="55"/>
      <c r="J17" s="55"/>
      <c r="K17" s="14"/>
      <c r="L17" s="14"/>
      <c r="M17" s="277"/>
      <c r="N17" s="277"/>
      <c r="O17" s="277"/>
    </row>
    <row r="18" spans="1:15">
      <c r="A18" s="9" t="s">
        <v>146</v>
      </c>
    </row>
    <row r="19" spans="1:15">
      <c r="A19" s="11" t="s">
        <v>147</v>
      </c>
    </row>
  </sheetData>
  <mergeCells count="3">
    <mergeCell ref="A1:L1"/>
    <mergeCell ref="B3:F3"/>
    <mergeCell ref="H3:L3"/>
  </mergeCells>
  <pageMargins left="0.55000000000000004" right="0.28999999999999998" top="0.75" bottom="0.75" header="0.3" footer="0.3"/>
  <pageSetup scale="67" orientation="portrait" r:id="rId1"/>
</worksheet>
</file>

<file path=xl/worksheets/sheet33.xml><?xml version="1.0" encoding="utf-8"?>
<worksheet xmlns="http://schemas.openxmlformats.org/spreadsheetml/2006/main" xmlns:r="http://schemas.openxmlformats.org/officeDocument/2006/relationships">
  <sheetPr>
    <tabColor rgb="FF00B050"/>
    <pageSetUpPr fitToPage="1"/>
  </sheetPr>
  <dimension ref="A1:O19"/>
  <sheetViews>
    <sheetView view="pageBreakPreview" zoomScale="80" zoomScaleSheetLayoutView="80" workbookViewId="0">
      <pane xSplit="1" ySplit="4" topLeftCell="B5" activePane="bottomRight" state="frozen"/>
      <selection activeCell="B12" sqref="B12"/>
      <selection pane="topRight" activeCell="B12" sqref="B12"/>
      <selection pane="bottomLeft" activeCell="B12" sqref="B12"/>
      <selection pane="bottomRight" activeCell="B12" sqref="B12"/>
    </sheetView>
  </sheetViews>
  <sheetFormatPr defaultColWidth="9.140625" defaultRowHeight="15.75"/>
  <cols>
    <col min="1" max="1" width="55.7109375" style="9" customWidth="1"/>
    <col min="2" max="2" width="16.5703125" style="9" customWidth="1"/>
    <col min="3" max="3" width="0.85546875" style="9" customWidth="1"/>
    <col min="4" max="4" width="17" style="9" bestFit="1" customWidth="1"/>
    <col min="5" max="5" width="0.85546875" style="9" customWidth="1"/>
    <col min="6" max="6" width="10.7109375" style="9" customWidth="1"/>
    <col min="7" max="7" width="0.85546875" style="9" customWidth="1"/>
    <col min="8" max="8" width="17" style="9" bestFit="1" customWidth="1"/>
    <col min="9" max="9" width="0.85546875" style="9" customWidth="1"/>
    <col min="10" max="10" width="15.140625" style="9" bestFit="1" customWidth="1"/>
    <col min="11" max="11" width="0.85546875" style="9" customWidth="1"/>
    <col min="12" max="12" width="10.7109375" style="9" customWidth="1"/>
    <col min="13" max="13" width="20.140625" style="237" bestFit="1" customWidth="1"/>
    <col min="14" max="14" width="1.85546875" style="237" customWidth="1"/>
    <col min="15" max="15" width="20.140625" style="237" bestFit="1" customWidth="1"/>
    <col min="16" max="16384" width="9.140625" style="9"/>
  </cols>
  <sheetData>
    <row r="1" spans="1:15" ht="19.5" customHeight="1">
      <c r="A1" s="1782" t="s">
        <v>356</v>
      </c>
      <c r="B1" s="1782"/>
      <c r="C1" s="1782"/>
      <c r="D1" s="1782"/>
      <c r="E1" s="1782"/>
      <c r="F1" s="1782"/>
      <c r="G1" s="1782"/>
      <c r="H1" s="1782"/>
      <c r="I1" s="1782"/>
      <c r="J1" s="1782"/>
      <c r="K1" s="1782"/>
      <c r="L1" s="1782"/>
    </row>
    <row r="2" spans="1:15" ht="15.75" customHeight="1">
      <c r="A2" s="10"/>
      <c r="B2" s="10"/>
      <c r="C2" s="10"/>
      <c r="D2" s="10"/>
      <c r="E2" s="10"/>
      <c r="F2" s="10"/>
      <c r="G2" s="10"/>
      <c r="H2" s="10"/>
      <c r="I2" s="10"/>
      <c r="J2" s="10"/>
    </row>
    <row r="3" spans="1:15" ht="16.5" thickBot="1">
      <c r="A3" s="14"/>
      <c r="B3" s="1784" t="s">
        <v>407</v>
      </c>
      <c r="C3" s="1784"/>
      <c r="D3" s="1784"/>
      <c r="E3" s="1784"/>
      <c r="F3" s="1784"/>
      <c r="G3" s="15"/>
      <c r="H3" s="1784" t="s">
        <v>351</v>
      </c>
      <c r="I3" s="1784"/>
      <c r="J3" s="1784"/>
      <c r="K3" s="1784"/>
      <c r="L3" s="1784"/>
    </row>
    <row r="4" spans="1:15">
      <c r="A4" s="14"/>
      <c r="B4" s="18" t="e">
        <f>#REF!</f>
        <v>#REF!</v>
      </c>
      <c r="C4" s="19"/>
      <c r="D4" s="20" t="e">
        <f>#REF!</f>
        <v>#REF!</v>
      </c>
      <c r="E4" s="51"/>
      <c r="F4" s="52" t="s">
        <v>151</v>
      </c>
      <c r="G4" s="52"/>
      <c r="H4" s="18" t="e">
        <f>B4</f>
        <v>#REF!</v>
      </c>
      <c r="I4" s="19"/>
      <c r="J4" s="20" t="e">
        <f>D4</f>
        <v>#REF!</v>
      </c>
      <c r="K4" s="14"/>
      <c r="L4" s="52" t="s">
        <v>151</v>
      </c>
      <c r="M4" s="237" t="s">
        <v>429</v>
      </c>
      <c r="O4" s="237" t="s">
        <v>497</v>
      </c>
    </row>
    <row r="5" spans="1:15">
      <c r="A5" s="14"/>
      <c r="B5" s="18" t="s">
        <v>19</v>
      </c>
      <c r="C5" s="51"/>
      <c r="D5" s="51" t="s">
        <v>19</v>
      </c>
      <c r="E5" s="51"/>
      <c r="F5" s="52" t="s">
        <v>28</v>
      </c>
      <c r="G5" s="52"/>
      <c r="H5" s="18" t="s">
        <v>19</v>
      </c>
      <c r="I5" s="51"/>
      <c r="J5" s="51" t="s">
        <v>19</v>
      </c>
      <c r="K5" s="14"/>
      <c r="L5" s="52" t="s">
        <v>28</v>
      </c>
      <c r="M5" s="237" t="s">
        <v>19</v>
      </c>
      <c r="O5" s="237" t="s">
        <v>19</v>
      </c>
    </row>
    <row r="6" spans="1:15" ht="16.5" thickBot="1">
      <c r="A6" s="21"/>
      <c r="B6" s="22" t="s">
        <v>148</v>
      </c>
      <c r="C6" s="23"/>
      <c r="D6" s="23" t="s">
        <v>148</v>
      </c>
      <c r="E6" s="23"/>
      <c r="F6" s="53"/>
      <c r="G6" s="53"/>
      <c r="H6" s="22" t="s">
        <v>148</v>
      </c>
      <c r="I6" s="23"/>
      <c r="J6" s="23" t="s">
        <v>148</v>
      </c>
      <c r="K6" s="21"/>
      <c r="L6" s="17"/>
      <c r="M6" s="237" t="s">
        <v>148</v>
      </c>
      <c r="O6" s="237" t="s">
        <v>163</v>
      </c>
    </row>
    <row r="7" spans="1:15" ht="19.5" customHeight="1">
      <c r="A7" s="10"/>
      <c r="B7" s="54"/>
      <c r="C7" s="10"/>
      <c r="D7" s="10"/>
      <c r="E7" s="10"/>
      <c r="F7" s="10"/>
      <c r="G7" s="10"/>
      <c r="H7" s="54"/>
      <c r="I7" s="10"/>
      <c r="J7" s="10"/>
      <c r="K7" s="10"/>
      <c r="L7" s="10"/>
    </row>
    <row r="8" spans="1:15" s="27" customFormat="1" ht="19.5" customHeight="1">
      <c r="A8" s="14" t="s">
        <v>157</v>
      </c>
      <c r="B8" s="30">
        <f>'P &amp; L (group)'!C29</f>
        <v>0</v>
      </c>
      <c r="C8" s="55"/>
      <c r="D8" s="55">
        <f>'P &amp; L (group)'!E29</f>
        <v>0</v>
      </c>
      <c r="E8" s="55"/>
      <c r="F8" s="55"/>
      <c r="G8" s="55"/>
      <c r="H8" s="30">
        <f>B8-M8</f>
        <v>-3463216517</v>
      </c>
      <c r="I8" s="55"/>
      <c r="J8" s="55">
        <f>D8-O8</f>
        <v>-3110334747</v>
      </c>
      <c r="K8" s="14"/>
      <c r="L8" s="14"/>
      <c r="M8" s="275">
        <v>3463216517</v>
      </c>
      <c r="N8" s="275"/>
      <c r="O8" s="275">
        <v>3110334747</v>
      </c>
    </row>
    <row r="9" spans="1:15" ht="19.5" customHeight="1">
      <c r="A9" s="10"/>
      <c r="B9" s="54"/>
      <c r="C9" s="10"/>
      <c r="D9" s="10"/>
      <c r="E9" s="10"/>
      <c r="F9" s="10"/>
      <c r="G9" s="10"/>
      <c r="H9" s="30">
        <f t="shared" ref="H9:H16" si="0">B9-M9</f>
        <v>0</v>
      </c>
      <c r="I9" s="55"/>
      <c r="J9" s="55">
        <f t="shared" ref="J9:J16" si="1">D9-O9</f>
        <v>0</v>
      </c>
      <c r="K9" s="10"/>
      <c r="L9" s="10"/>
    </row>
    <row r="10" spans="1:15" s="27" customFormat="1" ht="19.5" customHeight="1">
      <c r="A10" s="14" t="s">
        <v>160</v>
      </c>
      <c r="B10" s="56"/>
      <c r="C10" s="14"/>
      <c r="D10" s="14"/>
      <c r="E10" s="14"/>
      <c r="F10" s="14"/>
      <c r="G10" s="14"/>
      <c r="H10" s="30">
        <f t="shared" si="0"/>
        <v>0</v>
      </c>
      <c r="I10" s="55"/>
      <c r="J10" s="55">
        <f t="shared" si="1"/>
        <v>0</v>
      </c>
      <c r="K10" s="14"/>
      <c r="L10" s="14"/>
      <c r="M10" s="275"/>
      <c r="N10" s="275"/>
      <c r="O10" s="275"/>
    </row>
    <row r="11" spans="1:15" s="27" customFormat="1" ht="19.5" customHeight="1">
      <c r="A11" s="10" t="s">
        <v>434</v>
      </c>
      <c r="B11" s="411"/>
      <c r="C11" s="14"/>
      <c r="D11" s="14"/>
      <c r="E11" s="14"/>
      <c r="F11" s="14"/>
      <c r="G11" s="14"/>
      <c r="H11" s="30">
        <f t="shared" si="0"/>
        <v>57574001</v>
      </c>
      <c r="I11" s="55"/>
      <c r="J11" s="55">
        <f t="shared" si="1"/>
        <v>0</v>
      </c>
      <c r="K11" s="14"/>
      <c r="L11" s="14"/>
      <c r="M11" s="275">
        <v>-57574001</v>
      </c>
      <c r="N11" s="275"/>
      <c r="O11" s="275"/>
    </row>
    <row r="12" spans="1:15" s="27" customFormat="1" ht="19.5" customHeight="1">
      <c r="A12" s="10" t="s">
        <v>435</v>
      </c>
      <c r="B12" s="411"/>
      <c r="C12" s="14"/>
      <c r="D12" s="14"/>
      <c r="E12" s="14"/>
      <c r="F12" s="14"/>
      <c r="G12" s="14"/>
      <c r="H12" s="30">
        <f t="shared" si="0"/>
        <v>-652503</v>
      </c>
      <c r="I12" s="55"/>
      <c r="J12" s="55">
        <f t="shared" si="1"/>
        <v>0</v>
      </c>
      <c r="K12" s="14"/>
      <c r="L12" s="14"/>
      <c r="M12" s="275">
        <v>652503</v>
      </c>
      <c r="N12" s="275"/>
      <c r="O12" s="275"/>
    </row>
    <row r="13" spans="1:15" s="62" customFormat="1" ht="33" customHeight="1">
      <c r="A13" s="58" t="s">
        <v>162</v>
      </c>
      <c r="B13" s="59"/>
      <c r="C13" s="60"/>
      <c r="D13" s="60"/>
      <c r="E13" s="60"/>
      <c r="F13" s="60"/>
      <c r="G13" s="60"/>
      <c r="H13" s="30">
        <f>B13-M13</f>
        <v>-67188300</v>
      </c>
      <c r="I13" s="38"/>
      <c r="J13" s="55">
        <f>D13-O13</f>
        <v>24347380</v>
      </c>
      <c r="K13" s="61"/>
      <c r="L13" s="61"/>
      <c r="M13" s="3">
        <v>67188300</v>
      </c>
      <c r="N13" s="3"/>
      <c r="O13" s="3">
        <v>-24347380</v>
      </c>
    </row>
    <row r="14" spans="1:15" ht="32.25" customHeight="1">
      <c r="A14" s="57" t="s">
        <v>93</v>
      </c>
      <c r="B14" s="28"/>
      <c r="C14" s="38"/>
      <c r="D14" s="63"/>
      <c r="E14" s="38"/>
      <c r="F14" s="38"/>
      <c r="G14" s="38"/>
      <c r="H14" s="332">
        <f>B14-M14</f>
        <v>16778423</v>
      </c>
      <c r="I14" s="55"/>
      <c r="J14" s="64">
        <f t="shared" si="1"/>
        <v>-1472975</v>
      </c>
      <c r="K14" s="10"/>
      <c r="L14" s="65"/>
      <c r="M14" s="237">
        <v>-16778423</v>
      </c>
      <c r="O14" s="237">
        <v>1472975</v>
      </c>
    </row>
    <row r="15" spans="1:15" s="27" customFormat="1" ht="19.5" customHeight="1">
      <c r="A15" s="14" t="s">
        <v>161</v>
      </c>
      <c r="B15" s="30">
        <f>SUM(B11:B13)-B14</f>
        <v>0</v>
      </c>
      <c r="C15" s="55"/>
      <c r="D15" s="26">
        <f>SUM(D11:D13)-D14</f>
        <v>0</v>
      </c>
      <c r="E15" s="55"/>
      <c r="F15" s="55"/>
      <c r="G15" s="55"/>
      <c r="H15" s="30">
        <f>B15-M15</f>
        <v>-27045225</v>
      </c>
      <c r="I15" s="55"/>
      <c r="J15" s="55">
        <f t="shared" si="1"/>
        <v>25820355</v>
      </c>
      <c r="K15" s="14"/>
      <c r="L15" s="14"/>
      <c r="M15" s="275">
        <v>27045225</v>
      </c>
      <c r="N15" s="275"/>
      <c r="O15" s="275">
        <v>-25820355</v>
      </c>
    </row>
    <row r="16" spans="1:15" s="27" customFormat="1" ht="19.5" customHeight="1" thickBot="1">
      <c r="A16" s="14" t="s">
        <v>159</v>
      </c>
      <c r="B16" s="66">
        <f>B8+B15</f>
        <v>0</v>
      </c>
      <c r="C16" s="67"/>
      <c r="D16" s="68">
        <f>D8+D15</f>
        <v>0</v>
      </c>
      <c r="E16" s="67"/>
      <c r="F16" s="67"/>
      <c r="G16" s="67"/>
      <c r="H16" s="69">
        <f t="shared" si="0"/>
        <v>-3490261742</v>
      </c>
      <c r="I16" s="55"/>
      <c r="J16" s="70">
        <f t="shared" si="1"/>
        <v>-3084514392</v>
      </c>
      <c r="K16" s="14"/>
      <c r="L16" s="14"/>
      <c r="M16" s="275">
        <v>3490261742</v>
      </c>
      <c r="N16" s="275"/>
      <c r="O16" s="275">
        <v>3084514392</v>
      </c>
    </row>
    <row r="17" spans="1:15" s="27" customFormat="1" ht="19.5" customHeight="1">
      <c r="A17" s="14"/>
      <c r="B17" s="71"/>
      <c r="C17" s="67"/>
      <c r="D17" s="67"/>
      <c r="E17" s="67"/>
      <c r="F17" s="67"/>
      <c r="G17" s="67"/>
      <c r="H17" s="30"/>
      <c r="I17" s="55"/>
      <c r="J17" s="55"/>
      <c r="K17" s="14"/>
      <c r="L17" s="14"/>
      <c r="M17" s="275"/>
      <c r="N17" s="275"/>
      <c r="O17" s="275"/>
    </row>
    <row r="18" spans="1:15">
      <c r="A18" s="9" t="s">
        <v>146</v>
      </c>
    </row>
    <row r="19" spans="1:15">
      <c r="A19" s="11" t="s">
        <v>147</v>
      </c>
    </row>
  </sheetData>
  <mergeCells count="3">
    <mergeCell ref="A1:L1"/>
    <mergeCell ref="B3:F3"/>
    <mergeCell ref="H3:L3"/>
  </mergeCells>
  <pageMargins left="0.55000000000000004" right="0.28999999999999998" top="0.75" bottom="0.75" header="0.3" footer="0.3"/>
  <pageSetup scale="67" orientation="portrait" r:id="rId1"/>
</worksheet>
</file>

<file path=xl/worksheets/sheet34.xml><?xml version="1.0" encoding="utf-8"?>
<worksheet xmlns="http://schemas.openxmlformats.org/spreadsheetml/2006/main" xmlns:r="http://schemas.openxmlformats.org/officeDocument/2006/relationships">
  <sheetPr>
    <tabColor rgb="FF00B050"/>
    <pageSetUpPr fitToPage="1"/>
  </sheetPr>
  <dimension ref="A1:AB83"/>
  <sheetViews>
    <sheetView view="pageBreakPreview" zoomScale="90" zoomScaleNormal="70" zoomScaleSheetLayoutView="90" workbookViewId="0">
      <pane xSplit="2" ySplit="7" topLeftCell="C32" activePane="bottomRight" state="frozen"/>
      <selection activeCell="C8" sqref="C8"/>
      <selection pane="topRight" activeCell="C8" sqref="C8"/>
      <selection pane="bottomLeft" activeCell="C8" sqref="C8"/>
      <selection pane="bottomRight" activeCell="C8" sqref="C8"/>
    </sheetView>
  </sheetViews>
  <sheetFormatPr defaultColWidth="19.7109375" defaultRowHeight="15.75"/>
  <cols>
    <col min="1" max="1" width="19.7109375" style="75"/>
    <col min="2" max="2" width="23.28515625" style="73" customWidth="1"/>
    <col min="3" max="3" width="18.7109375" style="74" customWidth="1"/>
    <col min="4" max="4" width="0.85546875" style="74" customWidth="1"/>
    <col min="5" max="5" width="17.85546875" style="74" customWidth="1"/>
    <col min="6" max="6" width="1" style="74" customWidth="1"/>
    <col min="7" max="7" width="10.7109375" style="74" customWidth="1"/>
    <col min="8" max="8" width="0.85546875" style="74" customWidth="1"/>
    <col min="9" max="9" width="18.7109375" style="74" hidden="1" customWidth="1"/>
    <col min="10" max="10" width="0.85546875" style="74" hidden="1" customWidth="1"/>
    <col min="11" max="11" width="18.28515625" style="74" hidden="1" customWidth="1"/>
    <col min="12" max="12" width="0.85546875" style="74" hidden="1" customWidth="1"/>
    <col min="13" max="13" width="17" style="74" hidden="1" customWidth="1"/>
    <col min="14" max="14" width="18.140625" style="75" bestFit="1" customWidth="1"/>
    <col min="15" max="15" width="0.85546875" style="75" customWidth="1"/>
    <col min="16" max="16" width="19.7109375" style="75" bestFit="1" customWidth="1"/>
    <col min="17" max="17" width="0.85546875" style="75" customWidth="1"/>
    <col min="18" max="18" width="10.7109375" style="75" customWidth="1"/>
    <col min="19" max="19" width="18.140625" style="75" hidden="1" customWidth="1"/>
    <col min="20" max="20" width="17" style="75" hidden="1" customWidth="1"/>
    <col min="21" max="21" width="17.28515625" style="75" hidden="1" customWidth="1"/>
    <col min="22" max="16384" width="19.7109375" style="76"/>
  </cols>
  <sheetData>
    <row r="1" spans="1:27">
      <c r="C1" s="74">
        <f>C25-C45</f>
        <v>2</v>
      </c>
      <c r="E1" s="74">
        <f>E25-E45</f>
        <v>-2.17999267578125</v>
      </c>
      <c r="N1" s="74">
        <f>N25-N45</f>
        <v>1</v>
      </c>
      <c r="P1" s="74">
        <f>P25-P45</f>
        <v>-0.17999267578125</v>
      </c>
    </row>
    <row r="2" spans="1:27" ht="18.95" customHeight="1">
      <c r="A2" s="1787" t="s">
        <v>94</v>
      </c>
      <c r="B2" s="1788"/>
      <c r="C2" s="1788"/>
      <c r="D2" s="1788"/>
      <c r="E2" s="1788"/>
      <c r="F2" s="1788"/>
      <c r="G2" s="1788"/>
      <c r="H2" s="1788"/>
      <c r="I2" s="1788"/>
      <c r="J2" s="1788"/>
      <c r="K2" s="1788"/>
      <c r="L2" s="1788"/>
      <c r="M2" s="1788"/>
      <c r="N2" s="1788"/>
      <c r="O2" s="1788"/>
      <c r="P2" s="1788"/>
      <c r="Q2" s="1788"/>
      <c r="R2" s="1788"/>
      <c r="S2" s="307"/>
      <c r="T2" s="284"/>
      <c r="U2" s="284"/>
    </row>
    <row r="3" spans="1:27" ht="18.95" customHeight="1">
      <c r="A3" s="77"/>
      <c r="B3" s="78"/>
      <c r="C3" s="79"/>
      <c r="D3" s="79"/>
      <c r="E3" s="79"/>
      <c r="F3" s="79"/>
      <c r="G3" s="79"/>
      <c r="H3" s="79"/>
      <c r="I3" s="79"/>
      <c r="J3" s="79"/>
      <c r="K3" s="79"/>
      <c r="L3" s="79"/>
      <c r="M3" s="79"/>
      <c r="N3" s="77"/>
      <c r="O3" s="77"/>
      <c r="P3" s="77"/>
      <c r="Q3" s="77"/>
      <c r="R3" s="77"/>
      <c r="S3" s="77"/>
      <c r="T3" s="77"/>
      <c r="U3" s="77"/>
    </row>
    <row r="4" spans="1:27" ht="15.75" customHeight="1" thickBot="1">
      <c r="A4" s="80"/>
      <c r="B4" s="1789"/>
      <c r="C4" s="1790" t="s">
        <v>77</v>
      </c>
      <c r="D4" s="1790"/>
      <c r="E4" s="1791"/>
      <c r="F4" s="1791"/>
      <c r="G4" s="1791"/>
      <c r="H4" s="81"/>
      <c r="I4" s="81"/>
      <c r="J4" s="81"/>
      <c r="K4" s="81"/>
      <c r="L4" s="81"/>
      <c r="M4" s="81"/>
      <c r="N4" s="1792" t="s">
        <v>78</v>
      </c>
      <c r="O4" s="1792"/>
      <c r="P4" s="1792"/>
      <c r="Q4" s="1792"/>
      <c r="R4" s="1792"/>
      <c r="S4" s="311"/>
      <c r="T4" s="287"/>
      <c r="U4" s="287"/>
    </row>
    <row r="5" spans="1:27" ht="15.75" customHeight="1">
      <c r="A5" s="80" t="s">
        <v>51</v>
      </c>
      <c r="B5" s="1789"/>
      <c r="C5" s="117" t="s">
        <v>475</v>
      </c>
      <c r="D5" s="81"/>
      <c r="E5" s="81" t="s">
        <v>429</v>
      </c>
      <c r="F5" s="81"/>
      <c r="G5" s="81" t="s">
        <v>151</v>
      </c>
      <c r="H5" s="81"/>
      <c r="I5" s="81" t="s">
        <v>352</v>
      </c>
      <c r="J5" s="81"/>
      <c r="K5" s="81" t="s">
        <v>410</v>
      </c>
      <c r="L5" s="81"/>
      <c r="M5" s="81" t="s">
        <v>403</v>
      </c>
      <c r="N5" s="117" t="str">
        <f>C5</f>
        <v>30.06.2014</v>
      </c>
      <c r="O5" s="81"/>
      <c r="P5" s="81" t="s">
        <v>429</v>
      </c>
      <c r="Q5" s="81"/>
      <c r="R5" s="81" t="s">
        <v>151</v>
      </c>
      <c r="S5" s="81" t="s">
        <v>352</v>
      </c>
      <c r="T5" s="81" t="s">
        <v>410</v>
      </c>
      <c r="U5" s="81" t="s">
        <v>403</v>
      </c>
    </row>
    <row r="6" spans="1:27" ht="15.75" customHeight="1">
      <c r="A6" s="80"/>
      <c r="B6" s="82"/>
      <c r="C6" s="117" t="s">
        <v>150</v>
      </c>
      <c r="D6" s="81"/>
      <c r="E6" s="81" t="s">
        <v>150</v>
      </c>
      <c r="F6" s="81"/>
      <c r="G6" s="81" t="s">
        <v>28</v>
      </c>
      <c r="H6" s="81"/>
      <c r="I6" s="81"/>
      <c r="J6" s="81"/>
      <c r="K6" s="81"/>
      <c r="L6" s="81"/>
      <c r="M6" s="81"/>
      <c r="N6" s="117" t="s">
        <v>150</v>
      </c>
      <c r="O6" s="81"/>
      <c r="P6" s="81" t="s">
        <v>150</v>
      </c>
      <c r="Q6" s="81"/>
      <c r="R6" s="81" t="s">
        <v>28</v>
      </c>
      <c r="S6" s="81"/>
      <c r="T6" s="81"/>
      <c r="U6" s="81"/>
    </row>
    <row r="7" spans="1:27" ht="15.75" customHeight="1" thickBot="1">
      <c r="A7" s="103"/>
      <c r="B7" s="104"/>
      <c r="C7" s="118" t="s">
        <v>148</v>
      </c>
      <c r="D7" s="105"/>
      <c r="E7" s="432" t="s">
        <v>163</v>
      </c>
      <c r="F7" s="421"/>
      <c r="G7" s="105"/>
      <c r="H7" s="105"/>
      <c r="I7" s="310"/>
      <c r="J7" s="310"/>
      <c r="K7" s="286"/>
      <c r="L7" s="286"/>
      <c r="M7" s="286"/>
      <c r="N7" s="118" t="s">
        <v>148</v>
      </c>
      <c r="O7" s="105"/>
      <c r="P7" s="105" t="s">
        <v>163</v>
      </c>
      <c r="Q7" s="105"/>
      <c r="R7" s="105"/>
      <c r="S7" s="81"/>
      <c r="T7" s="81"/>
      <c r="U7" s="81"/>
      <c r="V7" s="337" t="s">
        <v>15</v>
      </c>
      <c r="W7" s="337" t="s">
        <v>13</v>
      </c>
      <c r="X7" s="281"/>
    </row>
    <row r="8" spans="1:27" ht="15.75" customHeight="1">
      <c r="A8" s="80" t="s">
        <v>95</v>
      </c>
      <c r="B8" s="78"/>
      <c r="C8" s="119"/>
      <c r="D8" s="79"/>
      <c r="E8" s="79"/>
      <c r="F8" s="79"/>
      <c r="G8" s="79"/>
      <c r="H8" s="79"/>
      <c r="I8" s="79"/>
      <c r="J8" s="79"/>
      <c r="K8" s="79"/>
      <c r="L8" s="79"/>
      <c r="M8" s="79"/>
      <c r="N8" s="119"/>
      <c r="O8" s="79"/>
      <c r="P8" s="79"/>
      <c r="Q8" s="79"/>
      <c r="R8" s="79"/>
      <c r="S8" s="79"/>
      <c r="T8" s="79"/>
      <c r="U8" s="79"/>
    </row>
    <row r="9" spans="1:27" s="84" customFormat="1" ht="15.75" customHeight="1">
      <c r="A9" s="77" t="s">
        <v>436</v>
      </c>
      <c r="B9" s="78"/>
      <c r="C9" s="119">
        <v>5242184312</v>
      </c>
      <c r="D9" s="79"/>
      <c r="E9" s="79">
        <v>2392129012</v>
      </c>
      <c r="F9" s="79"/>
      <c r="G9" s="79">
        <f>(C9-E9)/E9*100</f>
        <v>119.1430431094157</v>
      </c>
      <c r="H9" s="79"/>
      <c r="I9" s="79">
        <v>211397985.76999974</v>
      </c>
      <c r="J9" s="79"/>
      <c r="K9" s="79">
        <v>301182102.54000002</v>
      </c>
      <c r="L9" s="79"/>
      <c r="M9" s="79">
        <v>445664142</v>
      </c>
      <c r="N9" s="119">
        <v>5454907220</v>
      </c>
      <c r="O9" s="79"/>
      <c r="P9" s="79">
        <v>2751513454</v>
      </c>
      <c r="Q9" s="79"/>
      <c r="R9" s="79">
        <f>(N9-P9)/P9*100</f>
        <v>98.251155634727269</v>
      </c>
      <c r="S9" s="119">
        <v>222354442.76999974</v>
      </c>
      <c r="T9" s="79">
        <v>304657741.54000002</v>
      </c>
      <c r="U9" s="79">
        <v>451048417</v>
      </c>
      <c r="V9" s="186">
        <f>E9-C9</f>
        <v>-2850055300</v>
      </c>
      <c r="W9" s="186">
        <f>N9-P9</f>
        <v>2703393766</v>
      </c>
    </row>
    <row r="10" spans="1:27" s="84" customFormat="1" ht="15.75" customHeight="1">
      <c r="A10" s="77" t="s">
        <v>553</v>
      </c>
      <c r="B10" s="78"/>
      <c r="C10" s="119">
        <v>316970235</v>
      </c>
      <c r="D10" s="79"/>
      <c r="E10" s="79">
        <v>598392048</v>
      </c>
      <c r="F10" s="79"/>
      <c r="G10" s="79">
        <f>(C10-E10)/E10*100</f>
        <v>-47.029671256593971</v>
      </c>
      <c r="H10" s="79"/>
      <c r="I10" s="79">
        <v>267888997.54000002</v>
      </c>
      <c r="J10" s="79"/>
      <c r="K10" s="79">
        <v>1486294549.48</v>
      </c>
      <c r="L10" s="79"/>
      <c r="M10" s="79">
        <v>933308124</v>
      </c>
      <c r="N10" s="119">
        <v>1785034146</v>
      </c>
      <c r="O10" s="79"/>
      <c r="P10" s="79">
        <v>1894012100</v>
      </c>
      <c r="Q10" s="79"/>
      <c r="R10" s="79">
        <f t="shared" ref="R10:R50" si="0">(N10-P10)/P10*100</f>
        <v>-5.7538150891433055</v>
      </c>
      <c r="S10" s="119">
        <v>468631643.54000002</v>
      </c>
      <c r="T10" s="79">
        <v>1792681911.48</v>
      </c>
      <c r="U10" s="79">
        <v>1246294703</v>
      </c>
      <c r="V10" s="186">
        <f>E10-C10</f>
        <v>281421813</v>
      </c>
      <c r="W10" s="186">
        <f t="shared" ref="W10:W45" si="1">N10-P10</f>
        <v>-108977954</v>
      </c>
    </row>
    <row r="11" spans="1:27" s="84" customFormat="1" ht="15.75" customHeight="1">
      <c r="A11" s="77" t="s">
        <v>438</v>
      </c>
      <c r="B11" s="78"/>
      <c r="C11" s="119">
        <v>0</v>
      </c>
      <c r="D11" s="79"/>
      <c r="E11" s="79">
        <v>0</v>
      </c>
      <c r="F11" s="79"/>
      <c r="G11" s="79"/>
      <c r="H11" s="79"/>
      <c r="I11" s="79"/>
      <c r="J11" s="79"/>
      <c r="K11" s="79"/>
      <c r="L11" s="79"/>
      <c r="M11" s="79"/>
      <c r="N11" s="119">
        <v>0</v>
      </c>
      <c r="O11" s="79"/>
      <c r="P11" s="79">
        <v>0</v>
      </c>
      <c r="Q11" s="79"/>
      <c r="R11" s="79"/>
      <c r="S11" s="119"/>
      <c r="T11" s="79"/>
      <c r="U11" s="79"/>
      <c r="V11" s="186"/>
      <c r="W11" s="186"/>
    </row>
    <row r="12" spans="1:27" ht="15.75" customHeight="1">
      <c r="A12" s="77" t="s">
        <v>178</v>
      </c>
      <c r="B12" s="78"/>
      <c r="C12" s="119">
        <v>208545971</v>
      </c>
      <c r="D12" s="79"/>
      <c r="E12" s="79">
        <v>161867816</v>
      </c>
      <c r="F12" s="79"/>
      <c r="G12" s="79">
        <f>(C12-E12)/E12*100</f>
        <v>28.837205661686323</v>
      </c>
      <c r="H12" s="79"/>
      <c r="I12" s="79">
        <v>161867815.84</v>
      </c>
      <c r="J12" s="79"/>
      <c r="K12" s="79">
        <v>142796667.98000002</v>
      </c>
      <c r="L12" s="79"/>
      <c r="M12" s="79">
        <v>97614645</v>
      </c>
      <c r="N12" s="119">
        <v>457768643</v>
      </c>
      <c r="O12" s="79"/>
      <c r="P12" s="79">
        <v>294289213</v>
      </c>
      <c r="Q12" s="79"/>
      <c r="R12" s="79">
        <f t="shared" si="0"/>
        <v>55.550602189418342</v>
      </c>
      <c r="S12" s="119">
        <v>294289212.84000003</v>
      </c>
      <c r="T12" s="79">
        <v>181285476.98000002</v>
      </c>
      <c r="U12" s="79">
        <v>111752947</v>
      </c>
      <c r="V12" s="186">
        <f>E12-C12</f>
        <v>-46678155</v>
      </c>
      <c r="W12" s="186">
        <f t="shared" si="1"/>
        <v>163479430</v>
      </c>
    </row>
    <row r="13" spans="1:27" ht="15.75" customHeight="1">
      <c r="A13" s="77" t="s">
        <v>808</v>
      </c>
      <c r="B13" s="78"/>
      <c r="C13" s="119">
        <v>46920994906</v>
      </c>
      <c r="D13" s="79"/>
      <c r="E13" s="79">
        <v>47669793811</v>
      </c>
      <c r="F13" s="79"/>
      <c r="G13" s="79">
        <f>(C13-E13)/E13*100</f>
        <v>-1.5708037420275385</v>
      </c>
      <c r="H13" s="79"/>
      <c r="I13" s="79">
        <v>91506706325.14299</v>
      </c>
      <c r="J13" s="79"/>
      <c r="K13" s="79">
        <v>85279822542.660004</v>
      </c>
      <c r="L13" s="79"/>
      <c r="M13" s="79">
        <v>84265992310</v>
      </c>
      <c r="N13" s="119">
        <v>46920994906</v>
      </c>
      <c r="O13" s="79"/>
      <c r="P13" s="79">
        <v>47669793811</v>
      </c>
      <c r="Q13" s="79"/>
      <c r="R13" s="79">
        <f t="shared" si="0"/>
        <v>-1.5708037420275385</v>
      </c>
      <c r="S13" s="119">
        <v>91134496863.762985</v>
      </c>
      <c r="T13" s="79">
        <v>84828888843.639984</v>
      </c>
      <c r="U13" s="79">
        <v>83935185352</v>
      </c>
      <c r="V13" s="186">
        <f>E13-C13</f>
        <v>748798905</v>
      </c>
      <c r="W13" s="186">
        <f t="shared" si="1"/>
        <v>-748798905</v>
      </c>
      <c r="X13" s="237">
        <v>91228969959.710022</v>
      </c>
      <c r="Y13" s="237">
        <v>89246203068</v>
      </c>
      <c r="Z13" s="76">
        <f>76435957166+12810245902</f>
        <v>89246203068</v>
      </c>
      <c r="AA13" s="238">
        <f>X13-Y13</f>
        <v>1982766891.710022</v>
      </c>
    </row>
    <row r="14" spans="1:27" ht="15.75" customHeight="1">
      <c r="A14" s="77" t="s">
        <v>809</v>
      </c>
      <c r="B14" s="78"/>
      <c r="C14" s="119">
        <v>27389445927</v>
      </c>
      <c r="D14" s="79"/>
      <c r="E14" s="79">
        <v>29778933597</v>
      </c>
      <c r="F14" s="79"/>
      <c r="G14" s="79"/>
      <c r="H14" s="79"/>
      <c r="I14" s="79"/>
      <c r="J14" s="79"/>
      <c r="K14" s="79"/>
      <c r="L14" s="79"/>
      <c r="M14" s="79"/>
      <c r="N14" s="119">
        <v>27509366125</v>
      </c>
      <c r="O14" s="79"/>
      <c r="P14" s="79">
        <v>29861661082</v>
      </c>
      <c r="Q14" s="79"/>
      <c r="R14" s="79"/>
      <c r="S14" s="119"/>
      <c r="T14" s="79"/>
      <c r="U14" s="79"/>
      <c r="V14" s="186"/>
      <c r="W14" s="186"/>
      <c r="X14" s="237"/>
      <c r="Y14" s="237"/>
      <c r="AA14" s="238"/>
    </row>
    <row r="15" spans="1:27" ht="15.75" customHeight="1">
      <c r="A15" s="77" t="s">
        <v>810</v>
      </c>
      <c r="B15" s="78"/>
      <c r="C15" s="119">
        <v>19871456554</v>
      </c>
      <c r="D15" s="79"/>
      <c r="E15" s="79">
        <v>13890344314</v>
      </c>
      <c r="F15" s="79"/>
      <c r="G15" s="79"/>
      <c r="H15" s="79"/>
      <c r="I15" s="79"/>
      <c r="J15" s="79"/>
      <c r="K15" s="79"/>
      <c r="L15" s="79"/>
      <c r="M15" s="79"/>
      <c r="N15" s="119">
        <v>19327504345</v>
      </c>
      <c r="O15" s="79"/>
      <c r="P15" s="79">
        <v>13435407367</v>
      </c>
      <c r="Q15" s="79"/>
      <c r="R15" s="79"/>
      <c r="S15" s="119"/>
      <c r="T15" s="79"/>
      <c r="U15" s="79"/>
      <c r="V15" s="186"/>
      <c r="W15" s="186"/>
      <c r="X15" s="237"/>
      <c r="Y15" s="237"/>
      <c r="AA15" s="238"/>
    </row>
    <row r="16" spans="1:27" ht="15.75" customHeight="1">
      <c r="A16" s="77" t="s">
        <v>439</v>
      </c>
      <c r="B16" s="78"/>
      <c r="C16" s="119">
        <v>0</v>
      </c>
      <c r="D16" s="79"/>
      <c r="E16" s="79">
        <v>0</v>
      </c>
      <c r="F16" s="79"/>
      <c r="G16" s="79" t="e">
        <f>(C16-E16)/E16*100</f>
        <v>#DIV/0!</v>
      </c>
      <c r="H16" s="79"/>
      <c r="I16" s="79"/>
      <c r="J16" s="79"/>
      <c r="K16" s="79"/>
      <c r="L16" s="79"/>
      <c r="M16" s="79">
        <v>0</v>
      </c>
      <c r="N16" s="119">
        <v>200708247</v>
      </c>
      <c r="O16" s="79"/>
      <c r="P16" s="79">
        <v>87312908</v>
      </c>
      <c r="Q16" s="79"/>
      <c r="R16" s="79">
        <f t="shared" si="0"/>
        <v>129.87236549262568</v>
      </c>
      <c r="S16" s="119">
        <v>87312908.370000005</v>
      </c>
      <c r="T16" s="79">
        <v>189374710</v>
      </c>
      <c r="U16" s="79">
        <v>171038806</v>
      </c>
      <c r="V16" s="186" t="e">
        <f>E16-#REF!</f>
        <v>#REF!</v>
      </c>
      <c r="W16" s="186">
        <f t="shared" si="1"/>
        <v>113395339</v>
      </c>
    </row>
    <row r="17" spans="1:26" ht="15.75" customHeight="1">
      <c r="A17" s="77" t="s">
        <v>440</v>
      </c>
      <c r="B17" s="78"/>
      <c r="C17" s="119">
        <v>874879474</v>
      </c>
      <c r="D17" s="79"/>
      <c r="E17" s="79">
        <v>190341900</v>
      </c>
      <c r="F17" s="79"/>
      <c r="G17" s="79">
        <f>(C18-E17)/E17*100</f>
        <v>2292.5249506283167</v>
      </c>
      <c r="H17" s="79"/>
      <c r="I17" s="79">
        <v>190341900</v>
      </c>
      <c r="J17" s="79"/>
      <c r="K17" s="79">
        <v>737340899.62</v>
      </c>
      <c r="L17" s="79"/>
      <c r="M17" s="79">
        <v>213787897</v>
      </c>
      <c r="N17" s="119">
        <v>2028881748</v>
      </c>
      <c r="O17" s="79"/>
      <c r="P17" s="79">
        <v>1331380321</v>
      </c>
      <c r="Q17" s="79"/>
      <c r="R17" s="79">
        <f>(N17-P17)/P17*100</f>
        <v>52.389344802400764</v>
      </c>
      <c r="S17" s="119">
        <v>1331380321</v>
      </c>
      <c r="T17" s="79">
        <v>737340899.62</v>
      </c>
      <c r="U17" s="79">
        <v>1126864130</v>
      </c>
      <c r="V17" s="186">
        <f t="shared" ref="V17:V28" si="2">E17-C17</f>
        <v>-684537574</v>
      </c>
      <c r="W17" s="186">
        <f>N17-P17</f>
        <v>697501427</v>
      </c>
    </row>
    <row r="18" spans="1:26" ht="15.75" customHeight="1">
      <c r="A18" s="77" t="s">
        <v>441</v>
      </c>
      <c r="B18" s="78"/>
      <c r="C18" s="119">
        <v>4553977449</v>
      </c>
      <c r="D18" s="79"/>
      <c r="E18" s="79">
        <v>1656468377</v>
      </c>
      <c r="F18" s="79"/>
      <c r="G18" s="79">
        <f>(C17-E18)/E18*100</f>
        <v>-47.184052158938378</v>
      </c>
      <c r="H18" s="79"/>
      <c r="I18" s="79">
        <v>1656468376.96</v>
      </c>
      <c r="J18" s="79"/>
      <c r="K18" s="79">
        <v>231147873.26999998</v>
      </c>
      <c r="L18" s="79"/>
      <c r="M18" s="79">
        <v>649982449</v>
      </c>
      <c r="N18" s="119">
        <v>4553977449</v>
      </c>
      <c r="O18" s="79"/>
      <c r="P18" s="79">
        <v>1656468377</v>
      </c>
      <c r="Q18" s="79"/>
      <c r="R18" s="79">
        <f>(N18-P18)/P18*100</f>
        <v>174.92088060549798</v>
      </c>
      <c r="S18" s="119">
        <v>1656468376.96</v>
      </c>
      <c r="T18" s="79">
        <v>1021062765.27</v>
      </c>
      <c r="U18" s="79">
        <v>649982448.99999988</v>
      </c>
      <c r="V18" s="186">
        <f t="shared" si="2"/>
        <v>-2897509072</v>
      </c>
      <c r="W18" s="186">
        <f>N18-P18</f>
        <v>2897509072</v>
      </c>
    </row>
    <row r="19" spans="1:26" s="75" customFormat="1" ht="15.75" customHeight="1">
      <c r="A19" s="77" t="s">
        <v>98</v>
      </c>
      <c r="B19" s="78"/>
      <c r="C19" s="119">
        <v>1875000000</v>
      </c>
      <c r="D19" s="79"/>
      <c r="E19" s="79">
        <v>1475000000</v>
      </c>
      <c r="F19" s="79"/>
      <c r="G19" s="79">
        <f t="shared" ref="G19:G25" si="3">(C19-E19)/E19*100</f>
        <v>27.118644067796609</v>
      </c>
      <c r="H19" s="79"/>
      <c r="I19" s="79">
        <v>1475000000</v>
      </c>
      <c r="J19" s="79"/>
      <c r="K19" s="79">
        <v>1475000000</v>
      </c>
      <c r="L19" s="79"/>
      <c r="M19" s="79">
        <v>1475000000.02</v>
      </c>
      <c r="N19" s="119">
        <v>0</v>
      </c>
      <c r="O19" s="85"/>
      <c r="P19" s="176">
        <v>0</v>
      </c>
      <c r="Q19" s="86"/>
      <c r="R19" s="79" t="e">
        <f t="shared" ref="R19:R25" si="4">(N19-P19)/P19*100</f>
        <v>#DIV/0!</v>
      </c>
      <c r="S19" s="125">
        <v>0</v>
      </c>
      <c r="T19" s="176">
        <v>0</v>
      </c>
      <c r="U19" s="176">
        <v>0</v>
      </c>
      <c r="V19" s="186">
        <f t="shared" si="2"/>
        <v>-400000000</v>
      </c>
      <c r="W19" s="186" t="e">
        <f>#REF!-P19</f>
        <v>#REF!</v>
      </c>
    </row>
    <row r="20" spans="1:26" ht="15.75" customHeight="1">
      <c r="A20" s="77" t="s">
        <v>99</v>
      </c>
      <c r="B20" s="78"/>
      <c r="C20" s="119">
        <v>0</v>
      </c>
      <c r="D20" s="79"/>
      <c r="E20" s="79">
        <v>0</v>
      </c>
      <c r="F20" s="79"/>
      <c r="G20" s="333" t="e">
        <f>(C20-E20)/E20*100</f>
        <v>#DIV/0!</v>
      </c>
      <c r="H20" s="79"/>
      <c r="I20" s="79">
        <v>0</v>
      </c>
      <c r="J20" s="79"/>
      <c r="K20" s="79">
        <v>0</v>
      </c>
      <c r="L20" s="79"/>
      <c r="M20" s="79">
        <v>0</v>
      </c>
      <c r="N20" s="125">
        <v>0</v>
      </c>
      <c r="O20" s="79"/>
      <c r="P20" s="79">
        <v>0</v>
      </c>
      <c r="Q20" s="79"/>
      <c r="R20" s="79" t="e">
        <f t="shared" si="4"/>
        <v>#DIV/0!</v>
      </c>
      <c r="S20" s="125"/>
      <c r="T20" s="79">
        <v>0</v>
      </c>
      <c r="U20" s="79">
        <v>0</v>
      </c>
      <c r="V20" s="186">
        <f t="shared" si="2"/>
        <v>0</v>
      </c>
      <c r="W20" s="186" t="e">
        <f>#REF!-P20</f>
        <v>#REF!</v>
      </c>
    </row>
    <row r="21" spans="1:26" ht="15.75" customHeight="1">
      <c r="A21" s="77" t="s">
        <v>100</v>
      </c>
      <c r="B21" s="78"/>
      <c r="C21" s="119">
        <v>345137531</v>
      </c>
      <c r="D21" s="79"/>
      <c r="E21" s="79">
        <v>352340063</v>
      </c>
      <c r="F21" s="79"/>
      <c r="G21" s="79">
        <f t="shared" si="3"/>
        <v>-2.044198987385661</v>
      </c>
      <c r="H21" s="79"/>
      <c r="I21" s="79">
        <v>352340062.93000001</v>
      </c>
      <c r="J21" s="79"/>
      <c r="K21" s="79">
        <v>350363605.19999999</v>
      </c>
      <c r="L21" s="79"/>
      <c r="M21" s="79">
        <v>347900576</v>
      </c>
      <c r="N21" s="119">
        <v>351443480</v>
      </c>
      <c r="O21" s="79"/>
      <c r="P21" s="79">
        <v>361806077</v>
      </c>
      <c r="Q21" s="79"/>
      <c r="R21" s="79">
        <f t="shared" si="4"/>
        <v>-2.864130167719654</v>
      </c>
      <c r="S21" s="119">
        <v>361806077.09500003</v>
      </c>
      <c r="T21" s="79">
        <v>361129116.30000001</v>
      </c>
      <c r="U21" s="79">
        <v>350479876</v>
      </c>
      <c r="V21" s="186">
        <f t="shared" si="2"/>
        <v>7202532</v>
      </c>
      <c r="W21" s="186">
        <f t="shared" si="1"/>
        <v>-10362597</v>
      </c>
    </row>
    <row r="22" spans="1:26" ht="15.75" customHeight="1">
      <c r="A22" s="77" t="s">
        <v>101</v>
      </c>
      <c r="B22" s="78"/>
      <c r="C22" s="119">
        <v>948429823</v>
      </c>
      <c r="D22" s="79"/>
      <c r="E22" s="79">
        <v>811039816</v>
      </c>
      <c r="F22" s="79"/>
      <c r="G22" s="79">
        <f t="shared" si="3"/>
        <v>16.939983005717192</v>
      </c>
      <c r="H22" s="79"/>
      <c r="I22" s="79">
        <v>811039816.22999966</v>
      </c>
      <c r="J22" s="79"/>
      <c r="K22" s="79">
        <v>685332804.25000012</v>
      </c>
      <c r="L22" s="79"/>
      <c r="M22" s="79">
        <v>732394355</v>
      </c>
      <c r="N22" s="119">
        <v>3638730765</v>
      </c>
      <c r="O22" s="79"/>
      <c r="P22" s="79">
        <v>2777377426</v>
      </c>
      <c r="Q22" s="79"/>
      <c r="R22" s="79">
        <f t="shared" si="4"/>
        <v>31.013190030874831</v>
      </c>
      <c r="S22" s="119">
        <v>2777377425.1858335</v>
      </c>
      <c r="T22" s="79">
        <v>2671142675.3291669</v>
      </c>
      <c r="U22" s="79">
        <v>2829083498</v>
      </c>
      <c r="V22" s="186">
        <f t="shared" si="2"/>
        <v>-137390007</v>
      </c>
      <c r="W22" s="186">
        <f t="shared" si="1"/>
        <v>861353339</v>
      </c>
    </row>
    <row r="23" spans="1:26" ht="15.75" customHeight="1">
      <c r="A23" s="77" t="s">
        <v>179</v>
      </c>
      <c r="B23" s="78"/>
      <c r="C23" s="119">
        <v>55000000</v>
      </c>
      <c r="D23" s="79"/>
      <c r="E23" s="79">
        <v>56000000</v>
      </c>
      <c r="F23" s="79"/>
      <c r="G23" s="79">
        <f t="shared" si="3"/>
        <v>-1.7857142857142856</v>
      </c>
      <c r="H23" s="79"/>
      <c r="I23" s="79">
        <v>56000000</v>
      </c>
      <c r="J23" s="79"/>
      <c r="K23" s="79">
        <v>56000000</v>
      </c>
      <c r="L23" s="79"/>
      <c r="M23" s="79">
        <v>56000000</v>
      </c>
      <c r="N23" s="119">
        <v>0</v>
      </c>
      <c r="O23" s="79"/>
      <c r="P23" s="79">
        <v>0</v>
      </c>
      <c r="Q23" s="79"/>
      <c r="R23" s="79" t="e">
        <f t="shared" si="4"/>
        <v>#DIV/0!</v>
      </c>
      <c r="S23" s="119">
        <v>0</v>
      </c>
      <c r="T23" s="79">
        <v>0</v>
      </c>
      <c r="U23" s="79">
        <v>0</v>
      </c>
      <c r="V23" s="186">
        <f t="shared" si="2"/>
        <v>1000000</v>
      </c>
      <c r="W23" s="186">
        <f t="shared" si="1"/>
        <v>0</v>
      </c>
    </row>
    <row r="24" spans="1:26" s="88" customFormat="1" ht="15.75" customHeight="1">
      <c r="A24" s="77" t="s">
        <v>102</v>
      </c>
      <c r="B24" s="78"/>
      <c r="C24" s="119">
        <v>1429692704</v>
      </c>
      <c r="D24" s="79"/>
      <c r="E24" s="79">
        <v>977532704</v>
      </c>
      <c r="F24" s="79"/>
      <c r="G24" s="79">
        <f t="shared" si="3"/>
        <v>46.255229942670027</v>
      </c>
      <c r="H24" s="79"/>
      <c r="I24" s="79"/>
      <c r="J24" s="79"/>
      <c r="K24" s="79"/>
      <c r="L24" s="79"/>
      <c r="M24" s="79">
        <v>25358032</v>
      </c>
      <c r="N24" s="119">
        <v>2300488567</v>
      </c>
      <c r="O24" s="79"/>
      <c r="P24" s="79">
        <v>1808460560</v>
      </c>
      <c r="Q24" s="79"/>
      <c r="R24" s="79">
        <f t="shared" si="4"/>
        <v>27.207007876356453</v>
      </c>
      <c r="S24" s="119">
        <v>0</v>
      </c>
      <c r="T24" s="79">
        <v>0</v>
      </c>
      <c r="U24" s="79">
        <v>842914</v>
      </c>
      <c r="V24" s="186">
        <f t="shared" si="2"/>
        <v>-452160000</v>
      </c>
      <c r="W24" s="186">
        <f t="shared" si="1"/>
        <v>492028007</v>
      </c>
    </row>
    <row r="25" spans="1:26" s="91" customFormat="1" ht="15.75" customHeight="1" thickBot="1">
      <c r="A25" s="80" t="s">
        <v>103</v>
      </c>
      <c r="B25" s="89"/>
      <c r="C25" s="126">
        <f>SUM(C9:C24)</f>
        <v>110031714886</v>
      </c>
      <c r="D25" s="90"/>
      <c r="E25" s="127">
        <f>SUM(E9:E24)</f>
        <v>100010183458</v>
      </c>
      <c r="F25" s="90"/>
      <c r="G25" s="79">
        <f t="shared" si="3"/>
        <v>10.020510993471595</v>
      </c>
      <c r="H25" s="90"/>
      <c r="I25" s="127">
        <f>SUM(I9:I24)</f>
        <v>96689051280.412979</v>
      </c>
      <c r="J25" s="90"/>
      <c r="K25" s="90">
        <v>93956796766.955627</v>
      </c>
      <c r="L25" s="90"/>
      <c r="M25" s="90">
        <v>92407127114.710007</v>
      </c>
      <c r="N25" s="126">
        <f>SUM(N9:N24)</f>
        <v>114529805641</v>
      </c>
      <c r="O25" s="90"/>
      <c r="P25" s="127">
        <f>SUM(P9:P24)</f>
        <v>103929482696</v>
      </c>
      <c r="Q25" s="90"/>
      <c r="R25" s="79">
        <f t="shared" si="4"/>
        <v>10.199534020588349</v>
      </c>
      <c r="S25" s="126">
        <f>SUM(S9:S24)</f>
        <v>98334117271.523819</v>
      </c>
      <c r="T25" s="127">
        <v>96506252157.552383</v>
      </c>
      <c r="U25" s="127">
        <v>95162738950</v>
      </c>
      <c r="V25" s="186">
        <f t="shared" si="2"/>
        <v>-10021531428</v>
      </c>
      <c r="W25" s="186">
        <f t="shared" si="1"/>
        <v>10600322945</v>
      </c>
    </row>
    <row r="26" spans="1:26" ht="15.75" customHeight="1" thickTop="1">
      <c r="A26" s="77"/>
      <c r="B26" s="78"/>
      <c r="C26" s="119"/>
      <c r="D26" s="79"/>
      <c r="E26" s="79"/>
      <c r="F26" s="79"/>
      <c r="G26" s="79"/>
      <c r="H26" s="79"/>
      <c r="I26" s="79"/>
      <c r="J26" s="79"/>
      <c r="K26" s="79"/>
      <c r="L26" s="79"/>
      <c r="M26" s="79">
        <v>0</v>
      </c>
      <c r="N26" s="119"/>
      <c r="O26" s="79"/>
      <c r="P26" s="79"/>
      <c r="Q26" s="79"/>
      <c r="R26" s="79"/>
      <c r="S26" s="119"/>
      <c r="T26" s="79"/>
      <c r="U26" s="79"/>
      <c r="V26" s="186">
        <f t="shared" si="2"/>
        <v>0</v>
      </c>
      <c r="W26" s="186">
        <f t="shared" si="1"/>
        <v>0</v>
      </c>
    </row>
    <row r="27" spans="1:26" s="91" customFormat="1" ht="15.75" customHeight="1">
      <c r="A27" s="80" t="s">
        <v>104</v>
      </c>
      <c r="B27" s="89"/>
      <c r="C27" s="121"/>
      <c r="D27" s="90"/>
      <c r="E27" s="90"/>
      <c r="F27" s="90"/>
      <c r="G27" s="79"/>
      <c r="H27" s="90"/>
      <c r="I27" s="90"/>
      <c r="J27" s="90"/>
      <c r="K27" s="90"/>
      <c r="L27" s="90"/>
      <c r="M27" s="90">
        <v>0</v>
      </c>
      <c r="N27" s="121"/>
      <c r="O27" s="90"/>
      <c r="P27" s="90"/>
      <c r="Q27" s="90"/>
      <c r="R27" s="79"/>
      <c r="S27" s="121"/>
      <c r="T27" s="90"/>
      <c r="U27" s="90"/>
      <c r="V27" s="186">
        <f t="shared" si="2"/>
        <v>0</v>
      </c>
      <c r="W27" s="186">
        <f t="shared" si="1"/>
        <v>0</v>
      </c>
    </row>
    <row r="28" spans="1:26" s="75" customFormat="1" ht="15.75" customHeight="1">
      <c r="A28" s="92" t="s">
        <v>442</v>
      </c>
      <c r="B28" s="78"/>
      <c r="C28" s="119">
        <v>13287546445</v>
      </c>
      <c r="D28" s="79"/>
      <c r="E28" s="79">
        <v>16865726054</v>
      </c>
      <c r="F28" s="79"/>
      <c r="G28" s="79">
        <f>(C28-E28)/E28*100</f>
        <v>-21.215686757531394</v>
      </c>
      <c r="H28" s="79"/>
      <c r="I28" s="79">
        <v>79608709049.189987</v>
      </c>
      <c r="J28" s="79"/>
      <c r="K28" s="79">
        <v>74714823735.619965</v>
      </c>
      <c r="L28" s="79"/>
      <c r="M28" s="79">
        <v>74249647481.169998</v>
      </c>
      <c r="N28" s="119">
        <v>14600793370</v>
      </c>
      <c r="O28" s="79"/>
      <c r="P28" s="79">
        <v>18207065746</v>
      </c>
      <c r="Q28" s="79"/>
      <c r="R28" s="79">
        <f t="shared" si="0"/>
        <v>-19.806993758960196</v>
      </c>
      <c r="S28" s="119">
        <v>80663357568</v>
      </c>
      <c r="T28" s="79">
        <v>75590336324.247574</v>
      </c>
      <c r="U28" s="79">
        <v>75170576071</v>
      </c>
      <c r="V28" s="186">
        <f t="shared" si="2"/>
        <v>3578179609</v>
      </c>
      <c r="W28" s="186">
        <f t="shared" si="1"/>
        <v>-3606272376</v>
      </c>
      <c r="X28" s="98">
        <v>68755815149.209946</v>
      </c>
      <c r="Y28" s="98">
        <f>22921160664+10878434017+12202921982+6830482112+2845086563+847384520-53921192+12016189639</f>
        <v>68487738305</v>
      </c>
      <c r="Z28" s="101">
        <f>X28-Y28</f>
        <v>268076844.20994568</v>
      </c>
    </row>
    <row r="29" spans="1:26" s="75" customFormat="1" ht="15.75" customHeight="1">
      <c r="A29" s="92" t="s">
        <v>443</v>
      </c>
      <c r="B29" s="78"/>
      <c r="C29" s="119">
        <v>39921527357</v>
      </c>
      <c r="D29" s="79"/>
      <c r="E29" s="79">
        <v>29769955021</v>
      </c>
      <c r="F29" s="79"/>
      <c r="G29" s="79">
        <f t="shared" ref="G29:G36" si="5">(C29-E29)/E29*100</f>
        <v>34.100059368040661</v>
      </c>
      <c r="H29" s="79"/>
      <c r="I29" s="79"/>
      <c r="J29" s="79"/>
      <c r="K29" s="79"/>
      <c r="L29" s="79"/>
      <c r="M29" s="79"/>
      <c r="N29" s="119">
        <v>39835006634</v>
      </c>
      <c r="O29" s="79"/>
      <c r="P29" s="79">
        <v>29699653115</v>
      </c>
      <c r="Q29" s="79"/>
      <c r="R29" s="79"/>
      <c r="S29" s="119"/>
      <c r="T29" s="79"/>
      <c r="U29" s="79"/>
      <c r="V29" s="186"/>
      <c r="W29" s="186"/>
      <c r="X29" s="98"/>
      <c r="Y29" s="98"/>
      <c r="Z29" s="101"/>
    </row>
    <row r="30" spans="1:26" s="75" customFormat="1" ht="15.75" customHeight="1">
      <c r="A30" s="92" t="s">
        <v>444</v>
      </c>
      <c r="B30" s="78"/>
      <c r="C30" s="119">
        <v>29513626792</v>
      </c>
      <c r="D30" s="79"/>
      <c r="E30" s="79">
        <v>28985476079</v>
      </c>
      <c r="F30" s="79"/>
      <c r="G30" s="79">
        <f t="shared" si="5"/>
        <v>1.8221219191312354</v>
      </c>
      <c r="H30" s="79"/>
      <c r="I30" s="79"/>
      <c r="J30" s="79"/>
      <c r="K30" s="79"/>
      <c r="L30" s="79"/>
      <c r="M30" s="79"/>
      <c r="N30" s="119">
        <v>29405300262</v>
      </c>
      <c r="O30" s="79"/>
      <c r="P30" s="79">
        <v>28881072079</v>
      </c>
      <c r="Q30" s="79"/>
      <c r="R30" s="79"/>
      <c r="S30" s="119"/>
      <c r="T30" s="79"/>
      <c r="U30" s="79"/>
      <c r="V30" s="186"/>
      <c r="W30" s="186"/>
      <c r="X30" s="98"/>
      <c r="Y30" s="98"/>
      <c r="Z30" s="101"/>
    </row>
    <row r="31" spans="1:26" s="75" customFormat="1" ht="15.75" customHeight="1">
      <c r="A31" s="92" t="s">
        <v>445</v>
      </c>
      <c r="B31" s="78"/>
      <c r="C31" s="119">
        <v>4655712282</v>
      </c>
      <c r="D31" s="79"/>
      <c r="E31" s="79">
        <v>3974558996</v>
      </c>
      <c r="F31" s="79"/>
      <c r="G31" s="79">
        <f t="shared" si="5"/>
        <v>17.137833069920795</v>
      </c>
      <c r="H31" s="79"/>
      <c r="I31" s="79"/>
      <c r="J31" s="79"/>
      <c r="K31" s="79"/>
      <c r="L31" s="79"/>
      <c r="M31" s="79"/>
      <c r="N31" s="119">
        <v>4410590957</v>
      </c>
      <c r="O31" s="79"/>
      <c r="P31" s="79">
        <v>3889424810</v>
      </c>
      <c r="Q31" s="79"/>
      <c r="R31" s="79"/>
      <c r="S31" s="119"/>
      <c r="T31" s="79"/>
      <c r="U31" s="79"/>
      <c r="V31" s="186"/>
      <c r="W31" s="186"/>
      <c r="X31" s="98"/>
      <c r="Y31" s="98"/>
      <c r="Z31" s="101"/>
    </row>
    <row r="32" spans="1:26" s="75" customFormat="1" ht="15.75" customHeight="1">
      <c r="A32" s="92" t="s">
        <v>554</v>
      </c>
      <c r="B32" s="78"/>
      <c r="C32" s="119">
        <v>174352673</v>
      </c>
      <c r="D32" s="79"/>
      <c r="E32" s="79">
        <v>0</v>
      </c>
      <c r="F32" s="79"/>
      <c r="G32" s="79" t="e">
        <f t="shared" si="5"/>
        <v>#DIV/0!</v>
      </c>
      <c r="H32" s="79"/>
      <c r="I32" s="79"/>
      <c r="J32" s="79"/>
      <c r="K32" s="79"/>
      <c r="L32" s="79"/>
      <c r="M32" s="79"/>
      <c r="N32" s="119">
        <v>174352673</v>
      </c>
      <c r="O32" s="79"/>
      <c r="P32" s="79">
        <v>0</v>
      </c>
      <c r="Q32" s="79"/>
      <c r="R32" s="79"/>
      <c r="S32" s="119"/>
      <c r="T32" s="79"/>
      <c r="U32" s="79"/>
      <c r="V32" s="186"/>
      <c r="W32" s="186"/>
      <c r="X32" s="98"/>
      <c r="Y32" s="98"/>
      <c r="Z32" s="101"/>
    </row>
    <row r="33" spans="1:28" ht="15.75" customHeight="1">
      <c r="A33" s="77" t="s">
        <v>446</v>
      </c>
      <c r="B33" s="78"/>
      <c r="C33" s="119">
        <v>0</v>
      </c>
      <c r="D33" s="79"/>
      <c r="E33" s="79">
        <v>0</v>
      </c>
      <c r="F33" s="79"/>
      <c r="G33" s="79" t="e">
        <f t="shared" si="5"/>
        <v>#DIV/0!</v>
      </c>
      <c r="H33" s="79"/>
      <c r="I33" s="79">
        <v>0</v>
      </c>
      <c r="J33" s="79"/>
      <c r="K33" s="79">
        <v>0</v>
      </c>
      <c r="L33" s="79"/>
      <c r="M33" s="79">
        <v>0</v>
      </c>
      <c r="N33" s="119">
        <v>2820418113</v>
      </c>
      <c r="O33" s="79"/>
      <c r="P33" s="79">
        <v>2413813698</v>
      </c>
      <c r="Q33" s="79"/>
      <c r="R33" s="79">
        <f t="shared" si="0"/>
        <v>16.844896328863239</v>
      </c>
      <c r="S33" s="119">
        <v>2413813698</v>
      </c>
      <c r="T33" s="79">
        <v>1589833698</v>
      </c>
      <c r="U33" s="79">
        <v>1796553762</v>
      </c>
      <c r="V33" s="186">
        <f t="shared" ref="V33:V45" si="6">E33-C33</f>
        <v>0</v>
      </c>
      <c r="W33" s="186">
        <f t="shared" si="1"/>
        <v>406604415</v>
      </c>
    </row>
    <row r="34" spans="1:28" ht="15.75" customHeight="1">
      <c r="A34" s="77" t="s">
        <v>105</v>
      </c>
      <c r="B34" s="78"/>
      <c r="C34" s="119">
        <v>479225640</v>
      </c>
      <c r="D34" s="93"/>
      <c r="E34" s="79">
        <v>509911035</v>
      </c>
      <c r="F34" s="79"/>
      <c r="G34" s="79">
        <f t="shared" si="5"/>
        <v>-6.01779386868927</v>
      </c>
      <c r="H34" s="79"/>
      <c r="I34" s="79">
        <v>509911035.25000006</v>
      </c>
      <c r="J34" s="79"/>
      <c r="K34" s="79">
        <v>440169879.73999995</v>
      </c>
      <c r="L34" s="79"/>
      <c r="M34" s="79">
        <v>250464104</v>
      </c>
      <c r="N34" s="119">
        <v>539140389</v>
      </c>
      <c r="O34" s="79"/>
      <c r="P34" s="79">
        <v>604190834</v>
      </c>
      <c r="Q34" s="79"/>
      <c r="R34" s="79">
        <f t="shared" si="0"/>
        <v>-10.766539533434894</v>
      </c>
      <c r="S34" s="119">
        <v>604190834.1828351</v>
      </c>
      <c r="T34" s="79">
        <v>482000430.73999995</v>
      </c>
      <c r="U34" s="79">
        <v>251070759</v>
      </c>
      <c r="V34" s="186">
        <f t="shared" si="6"/>
        <v>30685395</v>
      </c>
      <c r="W34" s="186">
        <f t="shared" si="1"/>
        <v>-65050445</v>
      </c>
    </row>
    <row r="35" spans="1:28" s="88" customFormat="1" ht="15.75" customHeight="1">
      <c r="A35" s="77" t="s">
        <v>106</v>
      </c>
      <c r="B35" s="78"/>
      <c r="C35" s="122">
        <v>1573461387</v>
      </c>
      <c r="D35" s="79"/>
      <c r="E35" s="79">
        <v>1200640841</v>
      </c>
      <c r="F35" s="79"/>
      <c r="G35" s="79">
        <f t="shared" si="5"/>
        <v>31.051796113272477</v>
      </c>
      <c r="H35" s="79"/>
      <c r="I35" s="93">
        <v>1200640841.28</v>
      </c>
      <c r="J35" s="79"/>
      <c r="K35" s="79">
        <v>849392909</v>
      </c>
      <c r="L35" s="79"/>
      <c r="M35" s="79">
        <v>628682847.99999988</v>
      </c>
      <c r="N35" s="119">
        <v>1593826825</v>
      </c>
      <c r="O35" s="79"/>
      <c r="P35" s="79">
        <v>1225775082</v>
      </c>
      <c r="Q35" s="79"/>
      <c r="R35" s="79">
        <f t="shared" si="0"/>
        <v>30.026042167497742</v>
      </c>
      <c r="S35" s="119">
        <v>1225775082.28</v>
      </c>
      <c r="T35" s="79">
        <v>850030575</v>
      </c>
      <c r="U35" s="79">
        <v>609648585</v>
      </c>
      <c r="V35" s="186">
        <f t="shared" si="6"/>
        <v>-372820546</v>
      </c>
      <c r="W35" s="186">
        <f t="shared" si="1"/>
        <v>368051743</v>
      </c>
    </row>
    <row r="36" spans="1:28" ht="15.75" customHeight="1">
      <c r="A36" s="77" t="s">
        <v>107</v>
      </c>
      <c r="B36" s="78"/>
      <c r="C36" s="119">
        <v>181556151</v>
      </c>
      <c r="D36" s="79"/>
      <c r="E36" s="79">
        <v>60642856</v>
      </c>
      <c r="F36" s="79"/>
      <c r="G36" s="79">
        <f t="shared" si="5"/>
        <v>199.38588479408028</v>
      </c>
      <c r="H36" s="79"/>
      <c r="I36" s="79">
        <v>60642855.810000002</v>
      </c>
      <c r="J36" s="79"/>
      <c r="K36" s="79">
        <v>138195662.22999999</v>
      </c>
      <c r="L36" s="79"/>
      <c r="M36" s="79">
        <v>89587140.689999998</v>
      </c>
      <c r="N36" s="119">
        <v>200636810</v>
      </c>
      <c r="O36" s="79"/>
      <c r="P36" s="79">
        <v>76446291</v>
      </c>
      <c r="Q36" s="79"/>
      <c r="R36" s="79">
        <f t="shared" si="0"/>
        <v>162.454603585673</v>
      </c>
      <c r="S36" s="119">
        <v>76446290.810000002</v>
      </c>
      <c r="T36" s="79">
        <v>151669666.22999999</v>
      </c>
      <c r="U36" s="79">
        <v>117995220</v>
      </c>
      <c r="V36" s="186">
        <f t="shared" si="6"/>
        <v>-120913295</v>
      </c>
      <c r="W36" s="186">
        <f t="shared" si="1"/>
        <v>124190519</v>
      </c>
    </row>
    <row r="37" spans="1:28" ht="15.75" customHeight="1">
      <c r="A37" s="80" t="s">
        <v>108</v>
      </c>
      <c r="B37" s="89"/>
      <c r="C37" s="123">
        <f>SUM(C28:C36)</f>
        <v>89787008727</v>
      </c>
      <c r="D37" s="90"/>
      <c r="E37" s="106">
        <f>SUM(E28:E36)</f>
        <v>81366910882</v>
      </c>
      <c r="F37" s="90"/>
      <c r="G37" s="79">
        <f>(C37-E37)/E37*100</f>
        <v>10.348307135822083</v>
      </c>
      <c r="H37" s="90"/>
      <c r="I37" s="106">
        <f>SUM(I28:I36)</f>
        <v>81379903781.529984</v>
      </c>
      <c r="J37" s="90"/>
      <c r="K37" s="90">
        <v>76142582186.589966</v>
      </c>
      <c r="L37" s="90"/>
      <c r="M37" s="90">
        <v>75218381573.860001</v>
      </c>
      <c r="N37" s="123">
        <f>SUM(N28:N36)</f>
        <v>93580066033</v>
      </c>
      <c r="O37" s="90"/>
      <c r="P37" s="106">
        <f>SUM(P28:P36)</f>
        <v>84997441655</v>
      </c>
      <c r="Q37" s="90"/>
      <c r="R37" s="79">
        <f t="shared" si="0"/>
        <v>10.097509067198054</v>
      </c>
      <c r="S37" s="123">
        <f>SUM(S28:S36)</f>
        <v>84983583473.272827</v>
      </c>
      <c r="T37" s="106">
        <v>78663870694.217575</v>
      </c>
      <c r="U37" s="106">
        <v>77945844397</v>
      </c>
      <c r="V37" s="186">
        <f t="shared" si="6"/>
        <v>-8420097845</v>
      </c>
      <c r="W37" s="186">
        <f t="shared" si="1"/>
        <v>8582624378</v>
      </c>
    </row>
    <row r="38" spans="1:28" ht="15.75" customHeight="1">
      <c r="A38" s="80"/>
      <c r="B38" s="89"/>
      <c r="C38" s="121"/>
      <c r="D38" s="90"/>
      <c r="E38" s="90"/>
      <c r="F38" s="90"/>
      <c r="G38" s="79"/>
      <c r="H38" s="90"/>
      <c r="I38" s="90"/>
      <c r="J38" s="90"/>
      <c r="K38" s="90"/>
      <c r="L38" s="90"/>
      <c r="M38" s="90"/>
      <c r="N38" s="121"/>
      <c r="O38" s="90"/>
      <c r="P38" s="90"/>
      <c r="Q38" s="90"/>
      <c r="R38" s="79"/>
      <c r="S38" s="121"/>
      <c r="T38" s="90"/>
      <c r="U38" s="90"/>
      <c r="V38" s="186">
        <f t="shared" si="6"/>
        <v>0</v>
      </c>
      <c r="W38" s="186">
        <f t="shared" si="1"/>
        <v>0</v>
      </c>
    </row>
    <row r="39" spans="1:28" s="91" customFormat="1" ht="15.75" customHeight="1">
      <c r="A39" s="80" t="s">
        <v>109</v>
      </c>
      <c r="B39" s="89"/>
      <c r="C39" s="121"/>
      <c r="D39" s="90"/>
      <c r="E39" s="90"/>
      <c r="F39" s="90"/>
      <c r="G39" s="79"/>
      <c r="H39" s="90"/>
      <c r="I39" s="90"/>
      <c r="J39" s="90"/>
      <c r="K39" s="90"/>
      <c r="L39" s="90"/>
      <c r="M39" s="90"/>
      <c r="N39" s="121"/>
      <c r="O39" s="90"/>
      <c r="P39" s="90"/>
      <c r="Q39" s="90"/>
      <c r="R39" s="79"/>
      <c r="S39" s="121"/>
      <c r="T39" s="90"/>
      <c r="U39" s="90"/>
      <c r="V39" s="186">
        <f t="shared" si="6"/>
        <v>0</v>
      </c>
      <c r="W39" s="186">
        <f t="shared" si="1"/>
        <v>0</v>
      </c>
    </row>
    <row r="40" spans="1:28" s="75" customFormat="1" ht="15.75" customHeight="1">
      <c r="A40" s="77" t="s">
        <v>447</v>
      </c>
      <c r="B40" s="78"/>
      <c r="C40" s="119">
        <v>12836073308</v>
      </c>
      <c r="D40" s="79"/>
      <c r="E40" s="79">
        <v>12636073308</v>
      </c>
      <c r="F40" s="79"/>
      <c r="G40" s="79">
        <f t="shared" ref="G40:G45" si="7">(C40-E40)/E40*100</f>
        <v>1.5827701780851366</v>
      </c>
      <c r="H40" s="79"/>
      <c r="I40" s="79">
        <v>12636073308.209999</v>
      </c>
      <c r="J40" s="79"/>
      <c r="K40" s="79">
        <v>12158000800</v>
      </c>
      <c r="L40" s="79"/>
      <c r="M40" s="79">
        <v>12058000800</v>
      </c>
      <c r="N40" s="119">
        <v>12836073308</v>
      </c>
      <c r="O40" s="79"/>
      <c r="P40" s="79">
        <v>12636073308</v>
      </c>
      <c r="Q40" s="79"/>
      <c r="R40" s="79">
        <f t="shared" si="0"/>
        <v>1.5827701780851366</v>
      </c>
      <c r="S40" s="119">
        <v>12636073308.209999</v>
      </c>
      <c r="T40" s="79">
        <v>12158000800</v>
      </c>
      <c r="U40" s="79">
        <v>12058000800</v>
      </c>
      <c r="V40" s="186">
        <f t="shared" si="6"/>
        <v>-200000000</v>
      </c>
      <c r="W40" s="186">
        <f t="shared" si="1"/>
        <v>200000000</v>
      </c>
      <c r="X40" s="87"/>
      <c r="Z40" s="87"/>
      <c r="AA40" s="87"/>
      <c r="AB40" s="87"/>
    </row>
    <row r="41" spans="1:28" ht="15.75" customHeight="1">
      <c r="A41" s="77" t="s">
        <v>110</v>
      </c>
      <c r="B41" s="78"/>
      <c r="C41" s="119">
        <v>1103066889</v>
      </c>
      <c r="D41" s="79"/>
      <c r="E41" s="79">
        <v>930498048.76999998</v>
      </c>
      <c r="F41" s="79"/>
      <c r="G41" s="79">
        <f t="shared" si="7"/>
        <v>18.545857292029151</v>
      </c>
      <c r="H41" s="79"/>
      <c r="I41" s="79">
        <v>930498048.76999998</v>
      </c>
      <c r="J41" s="79"/>
      <c r="K41" s="79">
        <v>759905823.23000002</v>
      </c>
      <c r="L41" s="79"/>
      <c r="M41" s="79">
        <v>659361626</v>
      </c>
      <c r="N41" s="119">
        <v>1103066889</v>
      </c>
      <c r="O41" s="79"/>
      <c r="P41" s="79">
        <v>930498048.76999998</v>
      </c>
      <c r="Q41" s="79"/>
      <c r="R41" s="79">
        <f>(N41-P41)/P41*100</f>
        <v>18.545857292029151</v>
      </c>
      <c r="S41" s="119">
        <v>930498048.76999998</v>
      </c>
      <c r="T41" s="79">
        <v>759905823.23000002</v>
      </c>
      <c r="U41" s="79">
        <v>659361626</v>
      </c>
      <c r="V41" s="186">
        <f t="shared" si="6"/>
        <v>-172568840.23000002</v>
      </c>
      <c r="W41" s="186">
        <f t="shared" si="1"/>
        <v>172568840.23000002</v>
      </c>
      <c r="X41" s="83"/>
      <c r="Z41" s="83"/>
      <c r="AA41" s="83"/>
      <c r="AB41" s="83"/>
    </row>
    <row r="42" spans="1:28" ht="15.75" customHeight="1">
      <c r="A42" s="77" t="s">
        <v>111</v>
      </c>
      <c r="B42" s="78"/>
      <c r="C42" s="119">
        <v>4693338073</v>
      </c>
      <c r="D42" s="79"/>
      <c r="E42" s="79">
        <v>3747127757</v>
      </c>
      <c r="F42" s="79"/>
      <c r="G42" s="79">
        <f t="shared" si="7"/>
        <v>25.251616100689038</v>
      </c>
      <c r="H42" s="79"/>
      <c r="I42" s="79">
        <v>3734134856.8822389</v>
      </c>
      <c r="J42" s="79"/>
      <c r="K42" s="79">
        <v>3832172150.1339836</v>
      </c>
      <c r="L42" s="79"/>
      <c r="M42" s="79">
        <v>3619575951.5185633</v>
      </c>
      <c r="N42" s="119">
        <v>5385880698</v>
      </c>
      <c r="O42" s="79"/>
      <c r="P42" s="79">
        <v>4037794500</v>
      </c>
      <c r="Q42" s="79"/>
      <c r="R42" s="79">
        <f t="shared" si="0"/>
        <v>33.386696574082706</v>
      </c>
      <c r="S42" s="119">
        <v>4051652681</v>
      </c>
      <c r="T42" s="79">
        <v>3863919992.5745363</v>
      </c>
      <c r="U42" s="79">
        <v>3443771661</v>
      </c>
      <c r="V42" s="186">
        <f t="shared" si="6"/>
        <v>-946210316</v>
      </c>
      <c r="W42" s="186">
        <f t="shared" si="1"/>
        <v>1348086198</v>
      </c>
      <c r="X42" s="83"/>
      <c r="Z42" s="83"/>
      <c r="AA42" s="83"/>
      <c r="AB42" s="83"/>
    </row>
    <row r="43" spans="1:28" ht="15.75" customHeight="1">
      <c r="A43" s="77" t="s">
        <v>112</v>
      </c>
      <c r="B43" s="78"/>
      <c r="C43" s="184">
        <v>1612227887</v>
      </c>
      <c r="D43" s="79"/>
      <c r="E43" s="147">
        <v>1329573464.4099998</v>
      </c>
      <c r="F43" s="79"/>
      <c r="G43" s="79">
        <f t="shared" si="7"/>
        <v>21.259030069122844</v>
      </c>
      <c r="H43" s="79"/>
      <c r="I43" s="147">
        <v>1329573464</v>
      </c>
      <c r="J43" s="79"/>
      <c r="K43" s="79">
        <v>1064135806.61</v>
      </c>
      <c r="L43" s="79"/>
      <c r="M43" s="79">
        <v>851807163</v>
      </c>
      <c r="N43" s="184">
        <v>1624718712</v>
      </c>
      <c r="O43" s="79"/>
      <c r="P43" s="147">
        <v>1327675184.4099998</v>
      </c>
      <c r="Q43" s="79"/>
      <c r="R43" s="79">
        <f t="shared" si="0"/>
        <v>22.373207775364282</v>
      </c>
      <c r="S43" s="184">
        <v>1327675184</v>
      </c>
      <c r="T43" s="147">
        <v>1060554847.61</v>
      </c>
      <c r="U43" s="147">
        <v>848226204</v>
      </c>
      <c r="V43" s="186">
        <f t="shared" si="6"/>
        <v>-282654422.59000015</v>
      </c>
      <c r="W43" s="186">
        <f t="shared" si="1"/>
        <v>297043527.59000015</v>
      </c>
      <c r="X43" s="83"/>
      <c r="Z43" s="83"/>
      <c r="AA43" s="83"/>
      <c r="AB43" s="83"/>
    </row>
    <row r="44" spans="1:28" s="91" customFormat="1" ht="15.75" customHeight="1">
      <c r="A44" s="80" t="s">
        <v>113</v>
      </c>
      <c r="B44" s="89"/>
      <c r="C44" s="123">
        <f>SUM(C40:C43)</f>
        <v>20244706157</v>
      </c>
      <c r="D44" s="90"/>
      <c r="E44" s="106">
        <f>SUM(E40:E43)</f>
        <v>18643272578.18</v>
      </c>
      <c r="F44" s="90"/>
      <c r="G44" s="79">
        <f t="shared" si="7"/>
        <v>8.5898737579705298</v>
      </c>
      <c r="H44" s="90"/>
      <c r="I44" s="106" t="e">
        <f>SUM(#REF!)</f>
        <v>#REF!</v>
      </c>
      <c r="J44" s="90"/>
      <c r="K44" s="90">
        <v>17814214579.973984</v>
      </c>
      <c r="L44" s="90"/>
      <c r="M44" s="90">
        <v>17188745540.518562</v>
      </c>
      <c r="N44" s="123">
        <f>SUM(N40:N43)</f>
        <v>20949739607</v>
      </c>
      <c r="O44" s="90"/>
      <c r="P44" s="106">
        <f>SUM(P40:P43)</f>
        <v>18932041041.18</v>
      </c>
      <c r="Q44" s="90"/>
      <c r="R44" s="79">
        <f t="shared" si="0"/>
        <v>10.657586054410118</v>
      </c>
      <c r="S44" s="123" t="e">
        <f>SUM(#REF!)</f>
        <v>#REF!</v>
      </c>
      <c r="T44" s="106">
        <v>17842381463.414536</v>
      </c>
      <c r="U44" s="106">
        <v>17216894553</v>
      </c>
      <c r="V44" s="186">
        <f t="shared" si="6"/>
        <v>-1601433578.8199997</v>
      </c>
      <c r="W44" s="186">
        <f t="shared" si="1"/>
        <v>2017698565.8199997</v>
      </c>
    </row>
    <row r="45" spans="1:28" s="91" customFormat="1" ht="15.75" customHeight="1" thickBot="1">
      <c r="A45" s="80" t="s">
        <v>181</v>
      </c>
      <c r="B45" s="89"/>
      <c r="C45" s="126">
        <f>C37+C44</f>
        <v>110031714884</v>
      </c>
      <c r="D45" s="90"/>
      <c r="E45" s="127">
        <f>E37+E44</f>
        <v>100010183460.17999</v>
      </c>
      <c r="F45" s="90"/>
      <c r="G45" s="79">
        <f t="shared" si="7"/>
        <v>10.020510989073603</v>
      </c>
      <c r="H45" s="90"/>
      <c r="I45" s="127" t="e">
        <f>I37+I44</f>
        <v>#REF!</v>
      </c>
      <c r="J45" s="90"/>
      <c r="K45" s="90">
        <v>93956796766.56395</v>
      </c>
      <c r="L45" s="90"/>
      <c r="M45" s="90">
        <v>92407127114.378571</v>
      </c>
      <c r="N45" s="126">
        <f>N37+N44</f>
        <v>114529805640</v>
      </c>
      <c r="O45" s="90"/>
      <c r="P45" s="127">
        <f>P37+P44</f>
        <v>103929482696.17999</v>
      </c>
      <c r="Q45" s="90"/>
      <c r="R45" s="79">
        <f t="shared" si="0"/>
        <v>10.199534019435305</v>
      </c>
      <c r="S45" s="126" t="e">
        <f>S37+S44</f>
        <v>#REF!</v>
      </c>
      <c r="T45" s="127">
        <v>96506252157.632111</v>
      </c>
      <c r="U45" s="127">
        <v>95162738950</v>
      </c>
      <c r="V45" s="186">
        <f t="shared" si="6"/>
        <v>-10021531423.820007</v>
      </c>
      <c r="W45" s="186">
        <f t="shared" si="1"/>
        <v>10600322943.820007</v>
      </c>
    </row>
    <row r="46" spans="1:28" s="97" customFormat="1" ht="15.75" customHeight="1" thickTop="1">
      <c r="A46" s="94"/>
      <c r="B46" s="95"/>
      <c r="C46" s="124"/>
      <c r="D46" s="96"/>
      <c r="E46" s="96"/>
      <c r="F46" s="96"/>
      <c r="G46" s="79"/>
      <c r="H46" s="96"/>
      <c r="I46" s="96"/>
      <c r="J46" s="96"/>
      <c r="K46" s="96"/>
      <c r="L46" s="96"/>
      <c r="M46" s="96"/>
      <c r="N46" s="124"/>
      <c r="O46" s="96"/>
      <c r="P46" s="96"/>
      <c r="Q46" s="96"/>
      <c r="R46" s="79"/>
      <c r="S46" s="79"/>
      <c r="T46" s="79"/>
      <c r="U46" s="79"/>
    </row>
    <row r="47" spans="1:28" s="97" customFormat="1" ht="15.75" customHeight="1">
      <c r="A47" s="109" t="s">
        <v>164</v>
      </c>
      <c r="B47" s="95"/>
      <c r="C47" s="124">
        <v>442139682.69</v>
      </c>
      <c r="D47" s="96"/>
      <c r="E47" s="183">
        <v>387405948.36500001</v>
      </c>
      <c r="F47" s="183"/>
      <c r="G47" s="79">
        <f>(C47-E47)/E47*100</f>
        <v>14.128263790475366</v>
      </c>
      <c r="H47" s="96"/>
      <c r="I47" s="96"/>
      <c r="J47" s="96"/>
      <c r="K47" s="96"/>
      <c r="L47" s="96"/>
      <c r="M47" s="96"/>
      <c r="N47" s="124">
        <v>442139682.69</v>
      </c>
      <c r="O47" s="96"/>
      <c r="P47" s="183">
        <v>387405948.36500001</v>
      </c>
      <c r="Q47" s="96"/>
      <c r="R47" s="79">
        <f t="shared" si="0"/>
        <v>14.128263790475366</v>
      </c>
      <c r="S47" s="79"/>
      <c r="T47" s="79"/>
      <c r="U47" s="79"/>
    </row>
    <row r="48" spans="1:28" s="97" customFormat="1" ht="15.75" customHeight="1">
      <c r="A48" s="110" t="s">
        <v>165</v>
      </c>
      <c r="B48" s="95"/>
      <c r="C48" s="124">
        <v>5707122624</v>
      </c>
      <c r="D48" s="96"/>
      <c r="E48" s="183">
        <v>68881429.25</v>
      </c>
      <c r="F48" s="183"/>
      <c r="G48" s="79">
        <f>(C48-E48)/E48*100</f>
        <v>8185.4300297492746</v>
      </c>
      <c r="H48" s="96"/>
      <c r="I48" s="96"/>
      <c r="J48" s="96"/>
      <c r="K48" s="96"/>
      <c r="L48" s="96"/>
      <c r="M48" s="96"/>
      <c r="N48" s="124">
        <v>6561403523</v>
      </c>
      <c r="O48" s="96"/>
      <c r="P48" s="183">
        <v>1040768569.25</v>
      </c>
      <c r="Q48" s="96"/>
      <c r="R48" s="79">
        <f t="shared" si="0"/>
        <v>530.43828540366928</v>
      </c>
      <c r="S48" s="79"/>
      <c r="T48" s="79"/>
      <c r="U48" s="79"/>
      <c r="V48" s="242">
        <f>E25-E45</f>
        <v>-2.17999267578125</v>
      </c>
      <c r="W48" s="242">
        <f>P25-P45</f>
        <v>-0.17999267578125</v>
      </c>
    </row>
    <row r="49" spans="1:21" s="97" customFormat="1" ht="15.75" customHeight="1">
      <c r="A49" s="110"/>
      <c r="B49" s="95"/>
      <c r="C49" s="124"/>
      <c r="D49" s="96"/>
      <c r="E49" s="96"/>
      <c r="F49" s="96"/>
      <c r="G49" s="79"/>
      <c r="H49" s="96"/>
      <c r="I49" s="96"/>
      <c r="J49" s="96"/>
      <c r="K49" s="96"/>
      <c r="L49" s="96"/>
      <c r="M49" s="96"/>
      <c r="N49" s="124"/>
      <c r="O49" s="96"/>
      <c r="P49" s="96"/>
      <c r="Q49" s="96"/>
      <c r="R49" s="79"/>
      <c r="S49" s="79"/>
      <c r="T49" s="79"/>
      <c r="U49" s="79"/>
    </row>
    <row r="50" spans="1:21" s="97" customFormat="1" ht="15.75" customHeight="1">
      <c r="A50" s="110" t="s">
        <v>166</v>
      </c>
      <c r="B50" s="95"/>
      <c r="C50" s="124"/>
      <c r="D50" s="96"/>
      <c r="E50" s="182"/>
      <c r="F50" s="182"/>
      <c r="G50" s="79" t="e">
        <f>(C50-E50)/E50*100</f>
        <v>#DIV/0!</v>
      </c>
      <c r="H50" s="96"/>
      <c r="I50" s="96"/>
      <c r="J50" s="96"/>
      <c r="K50" s="96"/>
      <c r="L50" s="96"/>
      <c r="M50" s="96"/>
      <c r="N50" s="124"/>
      <c r="O50" s="96"/>
      <c r="P50" s="185"/>
      <c r="Q50" s="96"/>
      <c r="R50" s="79" t="e">
        <f t="shared" si="0"/>
        <v>#DIV/0!</v>
      </c>
      <c r="S50" s="79"/>
      <c r="T50" s="79"/>
      <c r="U50" s="79"/>
    </row>
    <row r="51" spans="1:21" s="97" customFormat="1" ht="15.75" customHeight="1">
      <c r="A51" s="110"/>
      <c r="B51" s="95"/>
      <c r="C51" s="124"/>
      <c r="D51" s="96"/>
      <c r="E51" s="96"/>
      <c r="F51" s="96"/>
      <c r="G51" s="79"/>
      <c r="H51" s="96"/>
      <c r="I51" s="96"/>
      <c r="J51" s="96"/>
      <c r="K51" s="96"/>
      <c r="L51" s="96"/>
      <c r="M51" s="96"/>
      <c r="N51" s="124"/>
      <c r="O51" s="96"/>
      <c r="P51" s="96"/>
      <c r="Q51" s="96"/>
      <c r="R51" s="96"/>
      <c r="S51" s="96"/>
      <c r="T51" s="96"/>
      <c r="U51" s="96"/>
    </row>
    <row r="52" spans="1:21" s="97" customFormat="1" ht="15.75" customHeight="1">
      <c r="A52" s="108" t="s">
        <v>167</v>
      </c>
      <c r="B52" s="95"/>
      <c r="C52" s="124"/>
      <c r="D52" s="96"/>
      <c r="E52" s="96"/>
      <c r="F52" s="96"/>
      <c r="G52" s="79"/>
      <c r="H52" s="96"/>
      <c r="I52" s="96"/>
      <c r="J52" s="96"/>
      <c r="K52" s="96"/>
      <c r="L52" s="96"/>
      <c r="M52" s="96"/>
      <c r="N52" s="124"/>
      <c r="O52" s="96"/>
      <c r="P52" s="96"/>
      <c r="Q52" s="96"/>
      <c r="R52" s="96"/>
      <c r="S52" s="96"/>
      <c r="T52" s="96"/>
      <c r="U52" s="96"/>
    </row>
    <row r="53" spans="1:21" s="97" customFormat="1" ht="15.75" customHeight="1">
      <c r="A53" s="110" t="s">
        <v>168</v>
      </c>
      <c r="B53" s="95"/>
      <c r="C53" s="124"/>
      <c r="D53" s="96"/>
      <c r="E53" s="183"/>
      <c r="F53" s="183"/>
      <c r="G53" s="79" t="e">
        <f>(C53-E53)/E53*100</f>
        <v>#DIV/0!</v>
      </c>
      <c r="H53" s="96"/>
      <c r="I53" s="96"/>
      <c r="J53" s="96"/>
      <c r="K53" s="96"/>
      <c r="L53" s="96"/>
      <c r="M53" s="96"/>
      <c r="N53" s="124"/>
      <c r="O53" s="96"/>
      <c r="P53" s="96"/>
      <c r="Q53" s="96"/>
      <c r="R53" s="96"/>
      <c r="S53" s="96"/>
      <c r="T53" s="96"/>
      <c r="U53" s="96"/>
    </row>
    <row r="54" spans="1:21" s="97" customFormat="1" ht="15.75" customHeight="1">
      <c r="A54" s="110" t="s">
        <v>169</v>
      </c>
      <c r="B54" s="95"/>
      <c r="C54" s="124"/>
      <c r="D54" s="96"/>
      <c r="E54" s="183"/>
      <c r="F54" s="183"/>
      <c r="G54" s="79" t="e">
        <f>(C54-E54)/E54*100</f>
        <v>#DIV/0!</v>
      </c>
      <c r="H54" s="96"/>
      <c r="I54" s="96"/>
      <c r="J54" s="96"/>
      <c r="K54" s="96"/>
      <c r="L54" s="96"/>
      <c r="M54" s="96"/>
      <c r="N54" s="124"/>
      <c r="O54" s="96"/>
      <c r="P54" s="96"/>
      <c r="Q54" s="96"/>
      <c r="R54" s="96"/>
      <c r="S54" s="96"/>
      <c r="T54" s="96"/>
      <c r="U54" s="96"/>
    </row>
    <row r="55" spans="1:21" s="97" customFormat="1" ht="15.75" customHeight="1">
      <c r="A55" s="110"/>
      <c r="B55" s="95"/>
      <c r="C55" s="96"/>
      <c r="D55" s="96"/>
      <c r="E55" s="96"/>
      <c r="F55" s="96"/>
      <c r="G55" s="96"/>
      <c r="H55" s="96"/>
      <c r="I55" s="96"/>
      <c r="J55" s="96"/>
      <c r="K55" s="96"/>
      <c r="L55" s="96"/>
      <c r="M55" s="96"/>
      <c r="N55" s="96"/>
      <c r="O55" s="96"/>
      <c r="P55" s="96"/>
      <c r="Q55" s="96"/>
      <c r="R55" s="96"/>
      <c r="S55" s="96"/>
      <c r="T55" s="96"/>
      <c r="U55" s="96"/>
    </row>
    <row r="56" spans="1:21" s="97" customFormat="1" ht="15.75" customHeight="1">
      <c r="A56" s="111" t="s">
        <v>170</v>
      </c>
      <c r="B56" s="115"/>
      <c r="C56" s="1179"/>
      <c r="D56" s="115"/>
      <c r="E56" s="1179"/>
      <c r="F56" s="420"/>
      <c r="G56" s="115"/>
      <c r="H56" s="115"/>
      <c r="I56" s="334"/>
      <c r="J56" s="309"/>
      <c r="K56" s="285"/>
      <c r="L56" s="285"/>
      <c r="M56" s="285"/>
      <c r="N56" s="115"/>
      <c r="O56" s="115"/>
      <c r="P56" s="115"/>
      <c r="Q56" s="115"/>
      <c r="R56" s="96"/>
      <c r="S56" s="96"/>
      <c r="T56" s="96"/>
      <c r="U56" s="96"/>
    </row>
    <row r="57" spans="1:21" s="97" customFormat="1" ht="53.25" customHeight="1">
      <c r="A57" s="1793" t="s">
        <v>430</v>
      </c>
      <c r="B57" s="1793"/>
      <c r="C57" s="1793"/>
      <c r="D57" s="1793"/>
      <c r="E57" s="1793"/>
      <c r="F57" s="1793"/>
      <c r="G57" s="1793"/>
      <c r="H57" s="1793"/>
      <c r="I57" s="1793"/>
      <c r="J57" s="1793"/>
      <c r="K57" s="1793"/>
      <c r="L57" s="1793"/>
      <c r="M57" s="1793"/>
      <c r="N57" s="1793"/>
      <c r="O57" s="1793"/>
      <c r="P57" s="1793"/>
      <c r="Q57" s="1793"/>
      <c r="R57" s="1793"/>
      <c r="S57" s="308"/>
      <c r="T57" s="288"/>
      <c r="U57" s="288"/>
    </row>
    <row r="58" spans="1:21" s="97" customFormat="1" ht="15.75" customHeight="1">
      <c r="A58" s="113"/>
      <c r="B58" s="113"/>
      <c r="C58" s="113"/>
      <c r="D58" s="113"/>
      <c r="E58" s="113"/>
      <c r="F58" s="113"/>
      <c r="G58" s="113"/>
      <c r="H58" s="113"/>
      <c r="I58" s="335"/>
      <c r="J58" s="113"/>
      <c r="K58" s="113"/>
      <c r="L58" s="113"/>
      <c r="M58" s="113"/>
      <c r="N58" s="113"/>
      <c r="O58" s="113"/>
      <c r="P58" s="113"/>
      <c r="Q58" s="113"/>
      <c r="R58" s="96"/>
      <c r="S58" s="96"/>
      <c r="T58" s="96"/>
      <c r="U58" s="96"/>
    </row>
    <row r="59" spans="1:21" s="97" customFormat="1" ht="15.75" customHeight="1">
      <c r="A59" s="114" t="s">
        <v>171</v>
      </c>
      <c r="B59" s="115"/>
      <c r="C59" s="115"/>
      <c r="D59" s="115"/>
      <c r="E59" s="115"/>
      <c r="F59" s="420"/>
      <c r="G59" s="115"/>
      <c r="H59" s="115"/>
      <c r="I59" s="334"/>
      <c r="J59" s="309"/>
      <c r="K59" s="285"/>
      <c r="L59" s="285"/>
      <c r="M59" s="285"/>
      <c r="N59" s="115"/>
      <c r="O59" s="115"/>
      <c r="P59" s="115"/>
      <c r="Q59" s="115"/>
      <c r="R59" s="96"/>
      <c r="S59" s="96"/>
      <c r="T59" s="96"/>
      <c r="U59" s="96"/>
    </row>
    <row r="60" spans="1:21" s="97" customFormat="1" ht="15.75" customHeight="1">
      <c r="A60" s="115" t="s">
        <v>172</v>
      </c>
      <c r="B60" s="115"/>
      <c r="C60" s="115"/>
      <c r="D60" s="115"/>
      <c r="E60" s="115"/>
      <c r="F60" s="420"/>
      <c r="G60" s="115"/>
      <c r="H60" s="115"/>
      <c r="I60" s="334"/>
      <c r="J60" s="309"/>
      <c r="K60" s="285"/>
      <c r="L60" s="285"/>
      <c r="M60" s="285"/>
      <c r="N60" s="115"/>
      <c r="O60" s="115"/>
      <c r="P60" s="115"/>
      <c r="Q60" s="115"/>
      <c r="R60" s="96"/>
      <c r="S60" s="96"/>
      <c r="T60" s="96"/>
      <c r="U60" s="96"/>
    </row>
    <row r="61" spans="1:21" s="97" customFormat="1" ht="15.75" customHeight="1">
      <c r="A61" s="115"/>
      <c r="B61" s="115"/>
      <c r="C61" s="115"/>
      <c r="D61" s="115"/>
      <c r="E61" s="115"/>
      <c r="F61" s="420"/>
      <c r="G61" s="115"/>
      <c r="H61" s="115"/>
      <c r="I61" s="334"/>
      <c r="J61" s="309"/>
      <c r="K61" s="285"/>
      <c r="L61" s="285"/>
      <c r="M61" s="285"/>
      <c r="N61" s="115"/>
      <c r="O61" s="115"/>
      <c r="P61" s="115"/>
      <c r="Q61" s="115"/>
      <c r="R61" s="96"/>
      <c r="S61" s="96"/>
      <c r="T61" s="96"/>
      <c r="U61" s="96"/>
    </row>
    <row r="62" spans="1:21" s="97" customFormat="1" ht="15.75" customHeight="1">
      <c r="A62" s="1786" t="s">
        <v>173</v>
      </c>
      <c r="B62" s="1786"/>
      <c r="C62" s="1786"/>
      <c r="D62" s="1786"/>
      <c r="E62" s="1786"/>
      <c r="F62" s="1786"/>
      <c r="G62" s="1786"/>
      <c r="H62" s="1786"/>
      <c r="I62" s="1786"/>
      <c r="J62" s="1786"/>
      <c r="K62" s="1786"/>
      <c r="L62" s="1786"/>
      <c r="M62" s="1786"/>
      <c r="N62" s="1786"/>
      <c r="O62" s="1786"/>
      <c r="P62" s="1786"/>
      <c r="Q62" s="1786"/>
      <c r="R62" s="96"/>
      <c r="S62" s="96"/>
      <c r="T62" s="96"/>
      <c r="U62" s="96"/>
    </row>
    <row r="63" spans="1:21" s="97" customFormat="1" ht="15.75" customHeight="1">
      <c r="A63" s="112" t="s">
        <v>174</v>
      </c>
      <c r="B63" s="112"/>
      <c r="C63" s="112"/>
      <c r="D63" s="112"/>
      <c r="E63" s="112"/>
      <c r="F63" s="112"/>
      <c r="G63" s="112"/>
      <c r="H63" s="112"/>
      <c r="I63" s="336"/>
      <c r="J63" s="112"/>
      <c r="K63" s="112"/>
      <c r="L63" s="112"/>
      <c r="M63" s="112"/>
      <c r="N63" s="112"/>
      <c r="O63" s="112"/>
      <c r="P63" s="112"/>
      <c r="Q63" s="112"/>
      <c r="R63" s="96"/>
      <c r="S63" s="96"/>
      <c r="T63" s="96"/>
      <c r="U63" s="96"/>
    </row>
    <row r="64" spans="1:21" s="97" customFormat="1" ht="15.75" customHeight="1">
      <c r="A64" s="112"/>
      <c r="B64" s="112"/>
      <c r="C64" s="112"/>
      <c r="D64" s="112"/>
      <c r="E64" s="112"/>
      <c r="F64" s="112"/>
      <c r="G64" s="112"/>
      <c r="H64" s="112"/>
      <c r="I64" s="336"/>
      <c r="J64" s="112"/>
      <c r="K64" s="112"/>
      <c r="L64" s="112"/>
      <c r="M64" s="112"/>
      <c r="N64" s="112"/>
      <c r="O64" s="112"/>
      <c r="P64" s="112"/>
      <c r="Q64" s="112"/>
      <c r="R64" s="96"/>
      <c r="S64" s="96"/>
      <c r="T64" s="96"/>
      <c r="U64" s="96"/>
    </row>
    <row r="65" spans="1:21" s="97" customFormat="1" ht="15.75" customHeight="1">
      <c r="A65" s="114" t="s">
        <v>171</v>
      </c>
      <c r="B65" s="115"/>
      <c r="C65" s="115"/>
      <c r="D65" s="114" t="s">
        <v>171</v>
      </c>
      <c r="E65" s="112"/>
      <c r="F65" s="112"/>
      <c r="G65" s="115"/>
      <c r="H65" s="115"/>
      <c r="I65" s="334"/>
      <c r="J65" s="309"/>
      <c r="K65" s="285"/>
      <c r="L65" s="285"/>
      <c r="M65" s="285"/>
      <c r="N65" s="115"/>
      <c r="O65" s="114" t="s">
        <v>171</v>
      </c>
      <c r="P65" s="114"/>
      <c r="Q65" s="115"/>
      <c r="R65" s="96"/>
      <c r="S65" s="96"/>
      <c r="T65" s="96"/>
      <c r="U65" s="96"/>
    </row>
    <row r="66" spans="1:21" s="97" customFormat="1" ht="15.75" customHeight="1">
      <c r="A66" s="115" t="s">
        <v>46</v>
      </c>
      <c r="B66" s="115"/>
      <c r="C66" s="115"/>
      <c r="D66" s="115" t="s">
        <v>46</v>
      </c>
      <c r="E66" s="115"/>
      <c r="F66" s="420"/>
      <c r="G66" s="115"/>
      <c r="H66" s="115"/>
      <c r="I66" s="334"/>
      <c r="J66" s="309"/>
      <c r="K66" s="285"/>
      <c r="L66" s="285"/>
      <c r="M66" s="285"/>
      <c r="N66" s="115"/>
      <c r="O66" s="115" t="s">
        <v>175</v>
      </c>
      <c r="P66" s="115"/>
      <c r="Q66" s="115"/>
      <c r="R66" s="96"/>
      <c r="S66" s="96"/>
      <c r="T66" s="96"/>
      <c r="U66" s="96"/>
    </row>
    <row r="67" spans="1:21" s="97" customFormat="1" ht="15.75" customHeight="1">
      <c r="A67" s="1786"/>
      <c r="B67" s="1786"/>
      <c r="C67" s="1786"/>
      <c r="D67" s="1786"/>
      <c r="E67" s="1786"/>
      <c r="F67" s="1786"/>
      <c r="G67" s="1786"/>
      <c r="H67" s="1786"/>
      <c r="I67" s="1786"/>
      <c r="J67" s="1786"/>
      <c r="K67" s="1786"/>
      <c r="L67" s="1786"/>
      <c r="M67" s="1786"/>
      <c r="N67" s="1786"/>
      <c r="O67" s="1786"/>
      <c r="P67" s="1786"/>
      <c r="Q67" s="1786"/>
      <c r="R67" s="96"/>
      <c r="S67" s="96"/>
      <c r="T67" s="96"/>
      <c r="U67" s="96"/>
    </row>
    <row r="68" spans="1:21" s="97" customFormat="1" ht="15.75" customHeight="1">
      <c r="A68" s="116" t="s">
        <v>431</v>
      </c>
      <c r="B68" s="115"/>
      <c r="C68" s="115"/>
      <c r="D68" s="115"/>
      <c r="E68" s="115"/>
      <c r="F68" s="420"/>
      <c r="G68" s="115"/>
      <c r="H68" s="115"/>
      <c r="I68" s="334"/>
      <c r="J68" s="309"/>
      <c r="K68" s="285"/>
      <c r="L68" s="285"/>
      <c r="M68" s="285"/>
      <c r="N68" s="115"/>
      <c r="O68" s="115"/>
      <c r="P68" s="115"/>
      <c r="Q68" s="115"/>
      <c r="R68" s="96"/>
      <c r="S68" s="96"/>
      <c r="T68" s="96"/>
      <c r="U68" s="96"/>
    </row>
    <row r="69" spans="1:21" s="97" customFormat="1" ht="15.75" customHeight="1">
      <c r="A69" s="115" t="s">
        <v>176</v>
      </c>
      <c r="B69" s="115"/>
      <c r="C69" s="115"/>
      <c r="D69" s="115"/>
      <c r="E69" s="115"/>
      <c r="F69" s="420"/>
      <c r="G69" s="115"/>
      <c r="H69" s="115"/>
      <c r="I69" s="334"/>
      <c r="J69" s="309"/>
      <c r="K69" s="285"/>
      <c r="L69" s="285"/>
      <c r="M69" s="285"/>
      <c r="N69" s="115"/>
      <c r="O69" s="115"/>
      <c r="P69" s="115"/>
      <c r="Q69" s="115"/>
      <c r="R69" s="96"/>
      <c r="S69" s="96"/>
      <c r="T69" s="96"/>
      <c r="U69" s="96"/>
    </row>
    <row r="70" spans="1:21" s="97" customFormat="1" ht="15.75" customHeight="1">
      <c r="A70" s="115"/>
      <c r="B70" s="115"/>
      <c r="C70" s="115"/>
      <c r="D70" s="115"/>
      <c r="E70" s="115"/>
      <c r="F70" s="420"/>
      <c r="G70" s="115"/>
      <c r="H70" s="115"/>
      <c r="I70" s="334"/>
      <c r="J70" s="309"/>
      <c r="K70" s="285"/>
      <c r="L70" s="285"/>
      <c r="M70" s="285"/>
      <c r="N70" s="115"/>
      <c r="O70" s="115"/>
      <c r="P70" s="115"/>
      <c r="Q70" s="115"/>
      <c r="R70" s="96"/>
      <c r="S70" s="96"/>
      <c r="T70" s="96"/>
      <c r="U70" s="96"/>
    </row>
    <row r="71" spans="1:21" s="97" customFormat="1" ht="15.75" customHeight="1">
      <c r="A71" s="1" t="s">
        <v>146</v>
      </c>
      <c r="B71" s="115"/>
      <c r="C71" s="115"/>
      <c r="D71" s="115"/>
      <c r="E71" s="115"/>
      <c r="F71" s="420"/>
      <c r="G71" s="115"/>
      <c r="H71" s="115"/>
      <c r="I71" s="334"/>
      <c r="J71" s="309"/>
      <c r="K71" s="285"/>
      <c r="L71" s="285"/>
      <c r="M71" s="285"/>
      <c r="N71" s="115"/>
      <c r="O71" s="115"/>
      <c r="P71" s="115"/>
      <c r="Q71" s="115"/>
      <c r="R71" s="96"/>
      <c r="S71" s="96"/>
      <c r="T71" s="96"/>
      <c r="U71" s="96"/>
    </row>
    <row r="72" spans="1:21" s="97" customFormat="1" ht="15.75" customHeight="1">
      <c r="A72" s="115" t="s">
        <v>177</v>
      </c>
      <c r="B72" s="115"/>
      <c r="C72" s="115"/>
      <c r="D72" s="115"/>
      <c r="E72" s="115"/>
      <c r="F72" s="420"/>
      <c r="G72" s="115"/>
      <c r="H72" s="115"/>
      <c r="I72" s="334"/>
      <c r="J72" s="309"/>
      <c r="K72" s="285"/>
      <c r="L72" s="285"/>
      <c r="M72" s="285"/>
      <c r="N72" s="115"/>
      <c r="O72" s="115"/>
      <c r="P72" s="115"/>
      <c r="Q72" s="115"/>
      <c r="R72" s="96"/>
      <c r="S72" s="96"/>
      <c r="T72" s="96"/>
      <c r="U72" s="96"/>
    </row>
    <row r="73" spans="1:21" s="97" customFormat="1">
      <c r="A73" s="94"/>
      <c r="B73" s="95"/>
      <c r="C73" s="96"/>
      <c r="D73" s="96"/>
      <c r="E73" s="96"/>
      <c r="F73" s="96"/>
      <c r="G73" s="96"/>
      <c r="H73" s="96"/>
      <c r="I73" s="96"/>
      <c r="J73" s="96"/>
      <c r="K73" s="96"/>
      <c r="L73" s="96"/>
      <c r="M73" s="96"/>
      <c r="N73" s="96"/>
      <c r="O73" s="96"/>
      <c r="P73" s="96"/>
      <c r="Q73" s="96"/>
      <c r="R73" s="96"/>
      <c r="S73" s="96"/>
      <c r="T73" s="96"/>
      <c r="U73" s="96"/>
    </row>
    <row r="74" spans="1:21" s="97" customFormat="1">
      <c r="A74" s="94"/>
      <c r="B74" s="95"/>
      <c r="C74" s="96"/>
      <c r="D74" s="96"/>
      <c r="E74" s="96"/>
      <c r="F74" s="96"/>
      <c r="G74" s="96"/>
      <c r="H74" s="96"/>
      <c r="I74" s="96"/>
      <c r="J74" s="96"/>
      <c r="K74" s="96"/>
      <c r="L74" s="96"/>
      <c r="M74" s="96"/>
      <c r="N74" s="96"/>
      <c r="O74" s="96"/>
      <c r="P74" s="96"/>
      <c r="Q74" s="96"/>
      <c r="R74" s="96"/>
      <c r="S74" s="96"/>
      <c r="T74" s="96"/>
      <c r="U74" s="96"/>
    </row>
    <row r="75" spans="1:21" s="97" customFormat="1">
      <c r="A75" s="94"/>
      <c r="B75" s="95"/>
      <c r="C75" s="96"/>
      <c r="D75" s="96"/>
      <c r="E75" s="96"/>
      <c r="F75" s="96"/>
      <c r="G75" s="96"/>
      <c r="H75" s="96"/>
      <c r="I75" s="96"/>
      <c r="J75" s="96"/>
      <c r="K75" s="96"/>
      <c r="L75" s="96"/>
      <c r="M75" s="96"/>
      <c r="N75" s="96"/>
      <c r="O75" s="96"/>
      <c r="P75" s="96"/>
      <c r="Q75" s="96"/>
      <c r="R75" s="96"/>
      <c r="S75" s="96"/>
      <c r="T75" s="96"/>
      <c r="U75" s="96"/>
    </row>
    <row r="76" spans="1:21">
      <c r="N76" s="74"/>
      <c r="O76" s="74"/>
    </row>
    <row r="77" spans="1:21">
      <c r="B77" s="98"/>
      <c r="C77" s="98">
        <f>C45-C25</f>
        <v>-2</v>
      </c>
      <c r="D77" s="98"/>
      <c r="E77" s="98">
        <f>E45-E25</f>
        <v>2.17999267578125</v>
      </c>
      <c r="F77" s="98"/>
      <c r="G77" s="98">
        <f>G45-G25</f>
        <v>-4.3979913044722707E-9</v>
      </c>
      <c r="H77" s="98"/>
      <c r="I77" s="98"/>
      <c r="J77" s="98"/>
      <c r="K77" s="98"/>
      <c r="L77" s="98"/>
      <c r="M77" s="98"/>
      <c r="N77" s="98">
        <f>N45-N25</f>
        <v>-1</v>
      </c>
      <c r="O77" s="98"/>
      <c r="P77" s="98">
        <f>P45-P25</f>
        <v>0.17999267578125</v>
      </c>
      <c r="Q77" s="98"/>
      <c r="R77" s="99">
        <f>R45-R25</f>
        <v>-1.153043882595739E-9</v>
      </c>
      <c r="S77" s="99"/>
      <c r="T77" s="99"/>
      <c r="U77" s="99"/>
    </row>
    <row r="78" spans="1:21">
      <c r="C78" s="100"/>
      <c r="D78" s="100"/>
      <c r="E78" s="100"/>
      <c r="F78" s="100"/>
      <c r="G78" s="100"/>
      <c r="H78" s="100"/>
      <c r="I78" s="100"/>
      <c r="J78" s="100"/>
      <c r="K78" s="100"/>
      <c r="L78" s="100"/>
      <c r="M78" s="100"/>
      <c r="N78" s="100"/>
      <c r="O78" s="100"/>
      <c r="P78" s="100"/>
      <c r="Q78" s="100"/>
      <c r="R78" s="100"/>
      <c r="S78" s="100"/>
      <c r="T78" s="100"/>
      <c r="U78" s="100"/>
    </row>
    <row r="79" spans="1:21">
      <c r="N79" s="101"/>
      <c r="O79" s="101"/>
      <c r="R79" s="101"/>
      <c r="S79" s="101"/>
      <c r="T79" s="101"/>
      <c r="U79" s="101"/>
    </row>
    <row r="80" spans="1:21">
      <c r="N80" s="101"/>
      <c r="O80" s="101"/>
      <c r="P80" s="101"/>
      <c r="Q80" s="101"/>
    </row>
    <row r="81" spans="1:21">
      <c r="N81" s="102"/>
      <c r="O81" s="102"/>
      <c r="P81" s="102"/>
      <c r="Q81" s="102"/>
      <c r="R81" s="102"/>
      <c r="S81" s="102"/>
      <c r="T81" s="102"/>
      <c r="U81" s="102"/>
    </row>
    <row r="82" spans="1:21">
      <c r="C82" s="101"/>
      <c r="D82" s="101"/>
      <c r="E82" s="101"/>
      <c r="F82" s="101"/>
      <c r="G82" s="101"/>
      <c r="H82" s="101"/>
      <c r="I82" s="101"/>
      <c r="J82" s="101"/>
      <c r="K82" s="101"/>
      <c r="L82" s="101"/>
      <c r="M82" s="101"/>
      <c r="N82" s="101"/>
      <c r="O82" s="101"/>
      <c r="P82" s="87"/>
      <c r="Q82" s="87"/>
    </row>
    <row r="83" spans="1:21">
      <c r="A83" s="76"/>
      <c r="B83" s="76"/>
      <c r="C83" s="76"/>
      <c r="D83" s="76"/>
      <c r="E83" s="76"/>
      <c r="F83" s="76"/>
      <c r="G83" s="76"/>
      <c r="H83" s="76"/>
      <c r="I83" s="76"/>
      <c r="J83" s="76"/>
      <c r="K83" s="76"/>
      <c r="L83" s="76"/>
      <c r="M83" s="76"/>
      <c r="N83" s="76"/>
      <c r="O83" s="76"/>
      <c r="P83" s="76"/>
      <c r="Q83" s="76"/>
      <c r="R83" s="76"/>
      <c r="S83" s="76"/>
      <c r="T83" s="76"/>
      <c r="U83" s="76"/>
    </row>
  </sheetData>
  <mergeCells count="7">
    <mergeCell ref="A67:Q67"/>
    <mergeCell ref="A2:R2"/>
    <mergeCell ref="B4:B5"/>
    <mergeCell ref="C4:G4"/>
    <mergeCell ref="N4:R4"/>
    <mergeCell ref="A57:R57"/>
    <mergeCell ref="A62:Q62"/>
  </mergeCells>
  <pageMargins left="0.44" right="0.25" top="0.36" bottom="0.18" header="0.3" footer="0.26"/>
  <pageSetup paperSize="9" scale="68" orientation="portrait" r:id="rId1"/>
</worksheet>
</file>

<file path=xl/worksheets/sheet35.xml><?xml version="1.0" encoding="utf-8"?>
<worksheet xmlns="http://schemas.openxmlformats.org/spreadsheetml/2006/main" xmlns:r="http://schemas.openxmlformats.org/officeDocument/2006/relationships">
  <sheetPr>
    <tabColor rgb="FF00B050"/>
  </sheetPr>
  <dimension ref="A1:V60"/>
  <sheetViews>
    <sheetView view="pageBreakPreview" zoomScale="80" zoomScaleSheetLayoutView="80" workbookViewId="0">
      <pane xSplit="1" ySplit="7" topLeftCell="B8" activePane="bottomRight" state="frozen"/>
      <selection activeCell="C8" sqref="C8"/>
      <selection pane="topRight" activeCell="C8" sqref="C8"/>
      <selection pane="bottomLeft" activeCell="C8" sqref="C8"/>
      <selection pane="bottomRight" activeCell="C8" sqref="C8"/>
    </sheetView>
  </sheetViews>
  <sheetFormatPr defaultColWidth="9.140625" defaultRowHeight="15.75"/>
  <cols>
    <col min="1" max="1" width="66.85546875" style="76" customWidth="1"/>
    <col min="2" max="2" width="18.140625" style="128" bestFit="1" customWidth="1"/>
    <col min="3" max="3" width="0.85546875" style="128" customWidth="1"/>
    <col min="4" max="4" width="25.140625" style="128" bestFit="1" customWidth="1"/>
    <col min="5" max="5" width="0.85546875" style="128" customWidth="1"/>
    <col min="6" max="6" width="14.85546875" style="128" customWidth="1"/>
    <col min="7" max="7" width="0.85546875" style="128" customWidth="1"/>
    <col min="8" max="8" width="14.5703125" style="128" customWidth="1"/>
    <col min="9" max="9" width="0.85546875" style="128" customWidth="1"/>
    <col min="10" max="10" width="17.85546875" style="128" bestFit="1" customWidth="1"/>
    <col min="11" max="11" width="0.85546875" style="128" customWidth="1"/>
    <col min="12" max="12" width="15.7109375" style="128" customWidth="1"/>
    <col min="13" max="13" width="0.85546875" style="128" customWidth="1"/>
    <col min="14" max="14" width="15.7109375" style="128" customWidth="1"/>
    <col min="15" max="15" width="0.85546875" style="128" customWidth="1"/>
    <col min="16" max="16" width="20.140625" style="74" bestFit="1" customWidth="1"/>
    <col min="17" max="17" width="0.85546875" style="74" customWidth="1"/>
    <col min="18" max="18" width="18.85546875" style="74" customWidth="1"/>
    <col min="19" max="19" width="21" style="74" bestFit="1" customWidth="1"/>
    <col min="20" max="20" width="20.140625" style="276" bestFit="1" customWidth="1"/>
    <col min="21" max="21" width="18" style="76" bestFit="1" customWidth="1"/>
    <col min="22" max="16384" width="9.140625" style="76"/>
  </cols>
  <sheetData>
    <row r="1" spans="1:21" ht="15.95" customHeight="1">
      <c r="A1" s="1787" t="s">
        <v>182</v>
      </c>
      <c r="B1" s="1788"/>
      <c r="C1" s="1788"/>
      <c r="D1" s="1788"/>
      <c r="E1" s="1788"/>
      <c r="F1" s="1788"/>
      <c r="G1" s="1788"/>
      <c r="H1" s="1788"/>
      <c r="I1" s="1788"/>
      <c r="J1" s="1788"/>
      <c r="K1" s="1788"/>
      <c r="L1" s="1788"/>
      <c r="M1" s="1788"/>
      <c r="N1" s="1788"/>
      <c r="O1" s="1788"/>
      <c r="P1" s="1788"/>
      <c r="Q1" s="1788"/>
      <c r="R1" s="1788"/>
    </row>
    <row r="2" spans="1:21" ht="15.95" customHeight="1">
      <c r="A2" s="91"/>
    </row>
    <row r="3" spans="1:21" ht="15.95" customHeight="1">
      <c r="A3" s="139"/>
      <c r="B3" s="137"/>
      <c r="C3" s="137"/>
      <c r="D3" s="137"/>
      <c r="E3" s="137"/>
      <c r="F3" s="137"/>
      <c r="G3" s="137"/>
      <c r="H3" s="137"/>
      <c r="I3" s="137"/>
      <c r="J3" s="137"/>
      <c r="K3" s="137"/>
      <c r="L3" s="137"/>
      <c r="M3" s="137"/>
      <c r="N3" s="137"/>
      <c r="O3" s="137"/>
      <c r="P3" s="79"/>
      <c r="Q3" s="79"/>
      <c r="R3" s="79"/>
    </row>
    <row r="4" spans="1:21" ht="15.95" customHeight="1">
      <c r="A4" s="139"/>
      <c r="B4" s="137"/>
      <c r="C4" s="137"/>
      <c r="D4" s="137"/>
      <c r="E4" s="137"/>
      <c r="F4" s="137"/>
      <c r="G4" s="137"/>
      <c r="H4" s="137"/>
      <c r="I4" s="137"/>
      <c r="J4" s="137"/>
      <c r="K4" s="137"/>
      <c r="L4" s="137"/>
      <c r="M4" s="137"/>
      <c r="N4" s="137"/>
      <c r="O4" s="137"/>
      <c r="P4" s="79"/>
      <c r="Q4" s="79"/>
      <c r="R4" s="79"/>
    </row>
    <row r="5" spans="1:21" s="130" customFormat="1" ht="15.95" customHeight="1" thickBot="1">
      <c r="A5" s="1794"/>
      <c r="B5" s="140"/>
      <c r="C5" s="140"/>
      <c r="D5" s="1795" t="s">
        <v>183</v>
      </c>
      <c r="E5" s="140"/>
      <c r="F5" s="1796" t="s">
        <v>114</v>
      </c>
      <c r="G5" s="1796"/>
      <c r="H5" s="1796"/>
      <c r="I5" s="1796"/>
      <c r="J5" s="1796"/>
      <c r="K5" s="1796"/>
      <c r="L5" s="1796"/>
      <c r="M5" s="409"/>
      <c r="N5" s="409"/>
      <c r="O5" s="149"/>
      <c r="P5" s="150"/>
      <c r="Q5" s="140"/>
      <c r="R5" s="1797" t="s">
        <v>115</v>
      </c>
      <c r="S5" s="129"/>
      <c r="T5" s="413"/>
    </row>
    <row r="6" spans="1:21" s="130" customFormat="1" ht="46.5" customHeight="1">
      <c r="A6" s="1794"/>
      <c r="B6" s="140" t="s">
        <v>180</v>
      </c>
      <c r="C6" s="140"/>
      <c r="D6" s="1795"/>
      <c r="E6" s="140"/>
      <c r="F6" s="140" t="s">
        <v>116</v>
      </c>
      <c r="G6" s="140"/>
      <c r="H6" s="140" t="s">
        <v>184</v>
      </c>
      <c r="I6" s="140"/>
      <c r="J6" s="140" t="s">
        <v>117</v>
      </c>
      <c r="K6" s="140"/>
      <c r="L6" s="140" t="s">
        <v>118</v>
      </c>
      <c r="M6" s="408"/>
      <c r="N6" s="408" t="s">
        <v>448</v>
      </c>
      <c r="O6" s="140"/>
      <c r="P6" s="141" t="s">
        <v>119</v>
      </c>
      <c r="Q6" s="141"/>
      <c r="R6" s="1797"/>
      <c r="S6" s="129"/>
      <c r="T6" s="413"/>
    </row>
    <row r="7" spans="1:21" s="130" customFormat="1" ht="15.95" customHeight="1" thickBot="1">
      <c r="A7" s="145"/>
      <c r="B7" s="144" t="s">
        <v>185</v>
      </c>
      <c r="C7" s="144"/>
      <c r="D7" s="144" t="s">
        <v>185</v>
      </c>
      <c r="E7" s="144"/>
      <c r="F7" s="144" t="s">
        <v>185</v>
      </c>
      <c r="G7" s="144"/>
      <c r="H7" s="144" t="s">
        <v>185</v>
      </c>
      <c r="I7" s="144"/>
      <c r="J7" s="144" t="s">
        <v>185</v>
      </c>
      <c r="K7" s="144"/>
      <c r="L7" s="144" t="s">
        <v>185</v>
      </c>
      <c r="M7" s="409"/>
      <c r="N7" s="409" t="s">
        <v>185</v>
      </c>
      <c r="O7" s="144"/>
      <c r="P7" s="144" t="s">
        <v>185</v>
      </c>
      <c r="Q7" s="144"/>
      <c r="R7" s="144" t="s">
        <v>185</v>
      </c>
      <c r="S7" s="129"/>
      <c r="T7" s="413"/>
    </row>
    <row r="8" spans="1:21" ht="15.95" customHeight="1">
      <c r="A8" s="131"/>
      <c r="B8" s="132"/>
      <c r="C8" s="132"/>
      <c r="D8" s="132"/>
      <c r="E8" s="132"/>
      <c r="F8" s="132"/>
      <c r="G8" s="132"/>
      <c r="H8" s="132"/>
      <c r="I8" s="132"/>
      <c r="J8" s="132"/>
      <c r="K8" s="132"/>
      <c r="L8" s="132"/>
      <c r="M8" s="132"/>
      <c r="N8" s="132"/>
      <c r="O8" s="132"/>
      <c r="P8" s="133"/>
      <c r="Q8" s="133"/>
      <c r="R8" s="133"/>
    </row>
    <row r="9" spans="1:21" s="91" customFormat="1" ht="15.95" customHeight="1">
      <c r="A9" s="138" t="s">
        <v>335</v>
      </c>
      <c r="B9" s="142">
        <v>12536073308</v>
      </c>
      <c r="C9" s="142"/>
      <c r="D9" s="137">
        <v>860280276</v>
      </c>
      <c r="E9" s="137"/>
      <c r="F9" s="137">
        <v>300000000</v>
      </c>
      <c r="G9" s="137"/>
      <c r="H9" s="137">
        <v>100000000</v>
      </c>
      <c r="I9" s="137"/>
      <c r="J9" s="137">
        <v>851746698</v>
      </c>
      <c r="K9" s="137"/>
      <c r="L9" s="79">
        <v>-120990172</v>
      </c>
      <c r="M9" s="137"/>
      <c r="N9" s="137">
        <v>0</v>
      </c>
      <c r="O9" s="137"/>
      <c r="P9" s="1181">
        <f>3495578245</f>
        <v>3495578245</v>
      </c>
      <c r="Q9" s="79"/>
      <c r="R9" s="79">
        <f>SUM(B9:Q9)</f>
        <v>18022688355</v>
      </c>
      <c r="S9" s="134"/>
      <c r="T9" s="277">
        <v>3360177586</v>
      </c>
    </row>
    <row r="10" spans="1:21" ht="15.95" customHeight="1">
      <c r="A10" s="138" t="s">
        <v>479</v>
      </c>
      <c r="T10" s="276">
        <v>-55084724</v>
      </c>
    </row>
    <row r="11" spans="1:21" ht="15.95" customHeight="1">
      <c r="A11" s="139" t="s">
        <v>480</v>
      </c>
      <c r="B11" s="137"/>
      <c r="C11" s="137"/>
      <c r="D11" s="137"/>
      <c r="E11" s="137"/>
      <c r="F11" s="137"/>
      <c r="G11" s="137"/>
      <c r="H11" s="137"/>
      <c r="I11" s="137"/>
      <c r="J11" s="137"/>
      <c r="K11" s="137"/>
      <c r="L11" s="137"/>
      <c r="M11" s="137"/>
      <c r="N11" s="137"/>
      <c r="O11" s="137"/>
      <c r="P11" s="338">
        <f>'Compreh. Income (C &amp; G)'!D8</f>
        <v>1404353456.1529999</v>
      </c>
      <c r="Q11" s="79"/>
      <c r="R11" s="79">
        <f>SUM(B11:P11)</f>
        <v>1404353456.1529999</v>
      </c>
      <c r="T11" s="414">
        <f>SUM(T9:T10)</f>
        <v>3305092862</v>
      </c>
      <c r="U11" s="83">
        <f>P9-T11</f>
        <v>190485383</v>
      </c>
    </row>
    <row r="12" spans="1:21" ht="15.95" customHeight="1">
      <c r="A12" s="139" t="s">
        <v>120</v>
      </c>
      <c r="B12" s="137"/>
      <c r="C12" s="137"/>
      <c r="D12" s="137"/>
      <c r="E12" s="137"/>
      <c r="F12" s="137"/>
      <c r="G12" s="137"/>
      <c r="H12" s="137"/>
      <c r="I12" s="137"/>
      <c r="J12" s="137"/>
      <c r="K12" s="137"/>
      <c r="L12" s="338">
        <f>'Compreh. Income (C &amp; G)'!D13</f>
        <v>6162008</v>
      </c>
      <c r="M12" s="79"/>
      <c r="N12" s="338">
        <f>'Compreh. Income (C)'!D12</f>
        <v>0</v>
      </c>
      <c r="O12" s="137"/>
      <c r="P12" s="338">
        <f>'Compreh. Income (C)'!D11-'Compreh. Income (C)'!D14</f>
        <v>0</v>
      </c>
      <c r="Q12" s="79"/>
      <c r="R12" s="79">
        <f>SUM(B12:P12)</f>
        <v>6162008</v>
      </c>
    </row>
    <row r="13" spans="1:21" ht="15.95" customHeight="1">
      <c r="A13" s="139"/>
      <c r="B13" s="137"/>
      <c r="C13" s="137"/>
      <c r="D13" s="137"/>
      <c r="E13" s="137"/>
      <c r="F13" s="137"/>
      <c r="G13" s="137"/>
      <c r="H13" s="137"/>
      <c r="I13" s="137"/>
      <c r="J13" s="137"/>
      <c r="K13" s="137"/>
      <c r="L13" s="137"/>
      <c r="M13" s="137"/>
      <c r="N13" s="137"/>
      <c r="O13" s="137"/>
      <c r="P13" s="79"/>
      <c r="Q13" s="79"/>
      <c r="R13" s="79">
        <f t="shared" ref="R13:R17" si="0">SUM(B13:P13)</f>
        <v>0</v>
      </c>
    </row>
    <row r="14" spans="1:21" ht="15.95" customHeight="1">
      <c r="A14" s="143" t="s">
        <v>121</v>
      </c>
      <c r="B14" s="137"/>
      <c r="C14" s="137"/>
      <c r="D14" s="137"/>
      <c r="E14" s="137"/>
      <c r="F14" s="137"/>
      <c r="G14" s="137"/>
      <c r="H14" s="137"/>
      <c r="I14" s="137"/>
      <c r="J14" s="137"/>
      <c r="K14" s="137"/>
      <c r="L14" s="137"/>
      <c r="M14" s="137"/>
      <c r="N14" s="137"/>
      <c r="O14" s="137"/>
      <c r="P14" s="79"/>
      <c r="Q14" s="79"/>
      <c r="R14" s="79">
        <f t="shared" si="0"/>
        <v>0</v>
      </c>
    </row>
    <row r="15" spans="1:21" ht="15.95" customHeight="1">
      <c r="A15" s="139" t="s">
        <v>143</v>
      </c>
      <c r="B15" s="338">
        <v>50000000</v>
      </c>
      <c r="C15" s="137"/>
      <c r="D15" s="137"/>
      <c r="E15" s="137"/>
      <c r="F15" s="137"/>
      <c r="G15" s="137"/>
      <c r="H15" s="137"/>
      <c r="I15" s="137"/>
      <c r="J15" s="137"/>
      <c r="K15" s="137"/>
      <c r="L15" s="137"/>
      <c r="M15" s="137"/>
      <c r="N15" s="137"/>
      <c r="O15" s="137"/>
      <c r="P15" s="338">
        <f>-B15</f>
        <v>-50000000</v>
      </c>
      <c r="Q15" s="79"/>
      <c r="R15" s="79">
        <f t="shared" si="0"/>
        <v>0</v>
      </c>
    </row>
    <row r="16" spans="1:21" ht="15.95" customHeight="1">
      <c r="A16" s="139" t="s">
        <v>326</v>
      </c>
      <c r="B16" s="338"/>
      <c r="C16" s="137"/>
      <c r="D16" s="137"/>
      <c r="E16" s="137"/>
      <c r="F16" s="137"/>
      <c r="G16" s="137"/>
      <c r="H16" s="137"/>
      <c r="I16" s="137"/>
      <c r="J16" s="137"/>
      <c r="K16" s="137"/>
      <c r="L16" s="137"/>
      <c r="M16" s="137"/>
      <c r="N16" s="137"/>
      <c r="O16" s="137"/>
      <c r="P16" s="338"/>
      <c r="Q16" s="79"/>
      <c r="R16" s="79">
        <f t="shared" si="0"/>
        <v>0</v>
      </c>
    </row>
    <row r="17" spans="1:22" ht="15.95" customHeight="1">
      <c r="A17" s="139" t="s">
        <v>122</v>
      </c>
      <c r="B17" s="137"/>
      <c r="C17" s="137"/>
      <c r="D17" s="338">
        <v>33240293</v>
      </c>
      <c r="E17" s="137"/>
      <c r="F17" s="137"/>
      <c r="G17" s="137"/>
      <c r="H17" s="137"/>
      <c r="I17" s="137"/>
      <c r="J17" s="338">
        <v>88265744</v>
      </c>
      <c r="K17" s="137"/>
      <c r="L17" s="137"/>
      <c r="M17" s="137"/>
      <c r="N17" s="137"/>
      <c r="O17" s="137"/>
      <c r="P17" s="74">
        <f>-D17-J17</f>
        <v>-121506037</v>
      </c>
      <c r="Q17" s="79"/>
      <c r="R17" s="79">
        <f t="shared" si="0"/>
        <v>0</v>
      </c>
    </row>
    <row r="18" spans="1:22" ht="15.95" customHeight="1">
      <c r="A18" s="139" t="s">
        <v>123</v>
      </c>
      <c r="B18" s="146"/>
      <c r="C18" s="137"/>
      <c r="D18" s="146"/>
      <c r="E18" s="137"/>
      <c r="F18" s="146"/>
      <c r="G18" s="137"/>
      <c r="H18" s="146"/>
      <c r="I18" s="137"/>
      <c r="J18" s="146"/>
      <c r="K18" s="137"/>
      <c r="L18" s="146"/>
      <c r="M18" s="137"/>
      <c r="N18" s="137"/>
      <c r="O18" s="137"/>
      <c r="P18" s="147">
        <v>0</v>
      </c>
      <c r="Q18" s="79"/>
      <c r="R18" s="147">
        <f>SUM(B18:P18)</f>
        <v>0</v>
      </c>
    </row>
    <row r="19" spans="1:22" s="91" customFormat="1" ht="15.95" customHeight="1" thickBot="1">
      <c r="A19" s="138" t="s">
        <v>478</v>
      </c>
      <c r="B19" s="273">
        <f t="shared" ref="B19:L19" si="1">SUM(B9:B18)</f>
        <v>12586073308</v>
      </c>
      <c r="C19" s="136">
        <f t="shared" si="1"/>
        <v>0</v>
      </c>
      <c r="D19" s="273">
        <f t="shared" si="1"/>
        <v>893520569</v>
      </c>
      <c r="E19" s="136">
        <f t="shared" si="1"/>
        <v>0</v>
      </c>
      <c r="F19" s="273">
        <f t="shared" si="1"/>
        <v>300000000</v>
      </c>
      <c r="G19" s="136">
        <f t="shared" si="1"/>
        <v>0</v>
      </c>
      <c r="H19" s="273">
        <f t="shared" si="1"/>
        <v>100000000</v>
      </c>
      <c r="I19" s="136">
        <f t="shared" si="1"/>
        <v>0</v>
      </c>
      <c r="J19" s="273">
        <f t="shared" si="1"/>
        <v>940012442</v>
      </c>
      <c r="K19" s="136">
        <f t="shared" si="1"/>
        <v>0</v>
      </c>
      <c r="L19" s="273">
        <f t="shared" si="1"/>
        <v>-114828164</v>
      </c>
      <c r="M19" s="136"/>
      <c r="N19" s="273">
        <f>SUM(N9:N18)</f>
        <v>0</v>
      </c>
      <c r="O19" s="136">
        <f>SUM(O9:O18)</f>
        <v>0</v>
      </c>
      <c r="P19" s="273">
        <f>SUM(P9:P18)</f>
        <v>4728425664.1529999</v>
      </c>
      <c r="Q19" s="136">
        <f>SUM(Q9:Q18)</f>
        <v>0</v>
      </c>
      <c r="R19" s="273">
        <f>SUM(R9:R18)</f>
        <v>19433203819.153</v>
      </c>
      <c r="S19" s="134"/>
      <c r="T19" s="277"/>
      <c r="V19" s="135"/>
    </row>
    <row r="20" spans="1:22" s="91" customFormat="1" ht="15.95" customHeight="1">
      <c r="A20" s="138"/>
      <c r="B20" s="1180">
        <v>12586073308</v>
      </c>
      <c r="C20" s="1180"/>
      <c r="D20" s="1180">
        <v>893520568.76999998</v>
      </c>
      <c r="E20" s="1180"/>
      <c r="F20" s="1180">
        <v>300000000</v>
      </c>
      <c r="G20" s="1180"/>
      <c r="H20" s="1180">
        <v>100000000</v>
      </c>
      <c r="I20" s="1180"/>
      <c r="J20" s="1180">
        <v>940012441.67999995</v>
      </c>
      <c r="K20" s="1180"/>
      <c r="L20" s="1180">
        <v>-108816178</v>
      </c>
      <c r="M20" s="1180"/>
      <c r="N20" s="1180"/>
      <c r="O20" s="1180"/>
      <c r="P20" s="1180">
        <v>3966595977</v>
      </c>
      <c r="Q20" s="1180"/>
      <c r="R20" s="1180">
        <f>SUM(B20:P20)</f>
        <v>18677386117.450001</v>
      </c>
      <c r="S20" s="134"/>
      <c r="T20" s="277"/>
      <c r="V20" s="135"/>
    </row>
    <row r="21" spans="1:22" s="91" customFormat="1" ht="15.95" customHeight="1">
      <c r="A21" s="138"/>
      <c r="B21" s="1180">
        <f>B19-B20</f>
        <v>0</v>
      </c>
      <c r="C21" s="1180"/>
      <c r="D21" s="1180">
        <f>D19-D20</f>
        <v>0.23000001907348633</v>
      </c>
      <c r="E21" s="1180"/>
      <c r="F21" s="1180">
        <f>F19-F20</f>
        <v>0</v>
      </c>
      <c r="G21" s="1180"/>
      <c r="H21" s="1180">
        <f>H19-H20</f>
        <v>0</v>
      </c>
      <c r="I21" s="1180"/>
      <c r="J21" s="1182">
        <f>J19-J20</f>
        <v>0.3200000524520874</v>
      </c>
      <c r="K21" s="1180"/>
      <c r="L21" s="1180">
        <f>L19-L20</f>
        <v>-6011986</v>
      </c>
      <c r="M21" s="1180"/>
      <c r="N21" s="1180">
        <f>N19-N20</f>
        <v>0</v>
      </c>
      <c r="O21" s="1180"/>
      <c r="P21" s="1180">
        <f>P19-P20</f>
        <v>761829687.15299988</v>
      </c>
      <c r="Q21" s="1180"/>
      <c r="R21" s="1180">
        <f>R19-R20</f>
        <v>755817701.70299911</v>
      </c>
      <c r="S21" s="134"/>
      <c r="T21" s="277"/>
      <c r="V21" s="135"/>
    </row>
    <row r="22" spans="1:22" s="91" customFormat="1" ht="15.95" customHeight="1">
      <c r="A22" s="138" t="s">
        <v>500</v>
      </c>
      <c r="B22" s="136">
        <f>B19</f>
        <v>12586073308</v>
      </c>
      <c r="C22" s="136"/>
      <c r="D22" s="136">
        <f>D19</f>
        <v>893520569</v>
      </c>
      <c r="E22" s="136"/>
      <c r="F22" s="136">
        <f>F19</f>
        <v>300000000</v>
      </c>
      <c r="G22" s="136"/>
      <c r="H22" s="136">
        <f>H19</f>
        <v>100000000</v>
      </c>
      <c r="I22" s="136"/>
      <c r="J22" s="136">
        <f>J19</f>
        <v>940012442</v>
      </c>
      <c r="K22" s="136"/>
      <c r="L22" s="136">
        <f>L19</f>
        <v>-114828164</v>
      </c>
      <c r="M22" s="136"/>
      <c r="N22" s="136">
        <f>N19</f>
        <v>0</v>
      </c>
      <c r="O22" s="136"/>
      <c r="P22" s="136">
        <f>P19</f>
        <v>4728425664.1529999</v>
      </c>
      <c r="Q22" s="136"/>
      <c r="R22" s="136">
        <f>R19</f>
        <v>19433203819.153</v>
      </c>
      <c r="S22" s="134"/>
      <c r="T22" s="277"/>
      <c r="V22" s="135"/>
    </row>
    <row r="23" spans="1:22" s="91" customFormat="1" ht="15.95" customHeight="1">
      <c r="A23" s="138" t="s">
        <v>499</v>
      </c>
      <c r="B23" s="136"/>
      <c r="C23" s="136"/>
      <c r="D23" s="136"/>
      <c r="E23" s="136"/>
      <c r="F23" s="136"/>
      <c r="G23" s="136"/>
      <c r="H23" s="136"/>
      <c r="I23" s="136"/>
      <c r="J23" s="136"/>
      <c r="K23" s="136"/>
      <c r="L23" s="136"/>
      <c r="M23" s="136"/>
      <c r="N23" s="136"/>
      <c r="O23" s="136"/>
      <c r="P23" s="136"/>
      <c r="Q23" s="136"/>
      <c r="R23" s="136"/>
      <c r="S23" s="134"/>
      <c r="T23" s="277"/>
      <c r="V23" s="135"/>
    </row>
    <row r="24" spans="1:22" s="91" customFormat="1" ht="15.95" customHeight="1">
      <c r="A24" s="139" t="s">
        <v>433</v>
      </c>
      <c r="B24" s="137"/>
      <c r="C24" s="137"/>
      <c r="D24" s="137"/>
      <c r="E24" s="137"/>
      <c r="F24" s="137"/>
      <c r="G24" s="137"/>
      <c r="H24" s="137"/>
      <c r="I24" s="137"/>
      <c r="J24" s="137"/>
      <c r="K24" s="137"/>
      <c r="L24" s="137"/>
      <c r="M24" s="137"/>
      <c r="N24" s="137"/>
      <c r="O24" s="137"/>
      <c r="P24" s="137">
        <f>3123745175-P11</f>
        <v>1719391718.8470001</v>
      </c>
      <c r="Q24" s="136"/>
      <c r="R24" s="79">
        <f t="shared" ref="R24:R25" si="2">SUM(B24:Q24)</f>
        <v>1719391718.8470001</v>
      </c>
      <c r="S24" s="134"/>
      <c r="T24" s="277"/>
      <c r="V24" s="135"/>
    </row>
    <row r="25" spans="1:22" s="91" customFormat="1" ht="15.95" customHeight="1">
      <c r="A25" s="139" t="s">
        <v>120</v>
      </c>
      <c r="B25" s="137"/>
      <c r="C25" s="137"/>
      <c r="D25" s="137"/>
      <c r="E25" s="137"/>
      <c r="F25" s="137"/>
      <c r="G25" s="137"/>
      <c r="H25" s="137"/>
      <c r="I25" s="137"/>
      <c r="J25" s="137"/>
      <c r="K25" s="137"/>
      <c r="L25" s="137">
        <f>64887973-L12</f>
        <v>58725965</v>
      </c>
      <c r="M25" s="137"/>
      <c r="N25" s="137">
        <f>652503-N12</f>
        <v>652503</v>
      </c>
      <c r="O25" s="137"/>
      <c r="P25" s="137">
        <f>-41209934-P12</f>
        <v>-41209934</v>
      </c>
      <c r="Q25" s="136"/>
      <c r="R25" s="79">
        <f t="shared" si="2"/>
        <v>18168534</v>
      </c>
      <c r="S25" s="134"/>
      <c r="T25" s="277"/>
      <c r="V25" s="135"/>
    </row>
    <row r="26" spans="1:22" s="91" customFormat="1" ht="15.95" customHeight="1">
      <c r="A26" s="139"/>
      <c r="B26" s="136"/>
      <c r="C26" s="136"/>
      <c r="D26" s="136"/>
      <c r="E26" s="136"/>
      <c r="F26" s="136"/>
      <c r="G26" s="136"/>
      <c r="H26" s="136"/>
      <c r="I26" s="136"/>
      <c r="J26" s="136"/>
      <c r="K26" s="136"/>
      <c r="L26" s="136"/>
      <c r="M26" s="136"/>
      <c r="N26" s="136"/>
      <c r="O26" s="136"/>
      <c r="P26" s="136"/>
      <c r="Q26" s="136"/>
      <c r="R26" s="136"/>
      <c r="S26" s="134"/>
      <c r="T26" s="277"/>
      <c r="V26" s="135"/>
    </row>
    <row r="27" spans="1:22" s="91" customFormat="1" ht="15.95" customHeight="1">
      <c r="A27" s="143" t="s">
        <v>121</v>
      </c>
      <c r="B27" s="136"/>
      <c r="C27" s="136"/>
      <c r="D27" s="136"/>
      <c r="E27" s="136"/>
      <c r="F27" s="136"/>
      <c r="G27" s="136"/>
      <c r="H27" s="136"/>
      <c r="I27" s="136"/>
      <c r="J27" s="136"/>
      <c r="K27" s="136"/>
      <c r="L27" s="136"/>
      <c r="M27" s="136"/>
      <c r="N27" s="136"/>
      <c r="O27" s="136"/>
      <c r="P27" s="136"/>
      <c r="Q27" s="136"/>
      <c r="R27" s="136"/>
      <c r="S27" s="134"/>
      <c r="T27" s="277"/>
      <c r="V27" s="135"/>
    </row>
    <row r="28" spans="1:22" s="91" customFormat="1" ht="15.95" customHeight="1">
      <c r="A28" s="139" t="s">
        <v>143</v>
      </c>
      <c r="B28" s="137">
        <f>200000000-B15</f>
        <v>150000000</v>
      </c>
      <c r="C28" s="137"/>
      <c r="D28" s="137"/>
      <c r="E28" s="137"/>
      <c r="F28" s="137"/>
      <c r="G28" s="137"/>
      <c r="H28" s="137"/>
      <c r="I28" s="137"/>
      <c r="J28" s="137"/>
      <c r="K28" s="137"/>
      <c r="L28" s="137"/>
      <c r="M28" s="137"/>
      <c r="N28" s="137"/>
      <c r="O28" s="137"/>
      <c r="P28" s="79">
        <f>-B28</f>
        <v>-150000000</v>
      </c>
      <c r="Q28" s="136"/>
      <c r="R28" s="79">
        <f t="shared" ref="R28:R31" si="3">SUM(B28:Q28)</f>
        <v>0</v>
      </c>
      <c r="S28" s="134"/>
      <c r="T28" s="277"/>
      <c r="V28" s="135"/>
    </row>
    <row r="29" spans="1:22" s="91" customFormat="1" ht="15.95" customHeight="1">
      <c r="A29" s="139" t="s">
        <v>326</v>
      </c>
      <c r="B29" s="137"/>
      <c r="C29" s="137"/>
      <c r="D29" s="76"/>
      <c r="E29" s="76"/>
      <c r="F29" s="76"/>
      <c r="G29" s="76"/>
      <c r="H29" s="76"/>
      <c r="I29" s="76"/>
      <c r="J29" s="76"/>
      <c r="K29" s="76"/>
      <c r="L29" s="76"/>
      <c r="M29" s="76"/>
      <c r="N29" s="76"/>
      <c r="O29" s="76"/>
      <c r="Q29" s="136"/>
      <c r="R29" s="79">
        <f t="shared" si="3"/>
        <v>0</v>
      </c>
      <c r="S29" s="134"/>
      <c r="T29" s="277"/>
      <c r="V29" s="135"/>
    </row>
    <row r="30" spans="1:22" s="91" customFormat="1" ht="15.95" customHeight="1">
      <c r="A30" s="139" t="s">
        <v>122</v>
      </c>
      <c r="B30" s="137"/>
      <c r="C30" s="137"/>
      <c r="D30" s="137">
        <f>156187170-D17</f>
        <v>122946877</v>
      </c>
      <c r="E30" s="137"/>
      <c r="F30" s="137"/>
      <c r="G30" s="137"/>
      <c r="H30" s="137"/>
      <c r="I30" s="137"/>
      <c r="J30" s="137">
        <f>245166831-J17</f>
        <v>156901087</v>
      </c>
      <c r="K30" s="137"/>
      <c r="L30" s="137"/>
      <c r="M30" s="137"/>
      <c r="N30" s="137"/>
      <c r="O30" s="137"/>
      <c r="P30" s="79">
        <f>-D30-J30</f>
        <v>-279847964</v>
      </c>
      <c r="Q30" s="136"/>
      <c r="R30" s="79">
        <f t="shared" si="3"/>
        <v>0</v>
      </c>
      <c r="S30" s="134"/>
      <c r="T30" s="277"/>
      <c r="V30" s="135"/>
    </row>
    <row r="31" spans="1:22" s="91" customFormat="1" ht="15.95" customHeight="1">
      <c r="A31" s="139" t="s">
        <v>123</v>
      </c>
      <c r="B31" s="137"/>
      <c r="C31" s="137"/>
      <c r="D31" s="137"/>
      <c r="E31" s="137"/>
      <c r="F31" s="137"/>
      <c r="G31" s="137"/>
      <c r="H31" s="137"/>
      <c r="I31" s="137"/>
      <c r="J31" s="137"/>
      <c r="K31" s="137"/>
      <c r="L31" s="137"/>
      <c r="M31" s="137"/>
      <c r="N31" s="137"/>
      <c r="O31" s="137"/>
      <c r="P31" s="79">
        <f>-1974828103-P18</f>
        <v>-1974828103</v>
      </c>
      <c r="Q31" s="136"/>
      <c r="R31" s="79">
        <f t="shared" si="3"/>
        <v>-1974828103</v>
      </c>
      <c r="S31" s="134"/>
      <c r="T31" s="277"/>
      <c r="V31" s="135"/>
    </row>
    <row r="32" spans="1:22" s="91" customFormat="1" ht="15.95" customHeight="1" thickBot="1">
      <c r="A32" s="138" t="s">
        <v>432</v>
      </c>
      <c r="B32" s="273">
        <f>SUM(B22:B31)</f>
        <v>12736073308</v>
      </c>
      <c r="C32" s="136"/>
      <c r="D32" s="273">
        <f>SUM(D22:D31)</f>
        <v>1016467446</v>
      </c>
      <c r="E32" s="136"/>
      <c r="F32" s="273">
        <f>SUM(F22:F31)</f>
        <v>300000000</v>
      </c>
      <c r="G32" s="136"/>
      <c r="H32" s="273">
        <f t="shared" ref="H32:R32" si="4">SUM(H22:H31)</f>
        <v>100000000</v>
      </c>
      <c r="I32" s="136"/>
      <c r="J32" s="273">
        <f t="shared" si="4"/>
        <v>1096913529</v>
      </c>
      <c r="K32" s="136"/>
      <c r="L32" s="273">
        <f t="shared" si="4"/>
        <v>-56102199</v>
      </c>
      <c r="M32" s="136"/>
      <c r="N32" s="273">
        <f t="shared" si="4"/>
        <v>652503</v>
      </c>
      <c r="O32" s="136"/>
      <c r="P32" s="273">
        <f t="shared" si="4"/>
        <v>4001931382</v>
      </c>
      <c r="Q32" s="136"/>
      <c r="R32" s="273">
        <f t="shared" si="4"/>
        <v>19195935969</v>
      </c>
      <c r="S32" s="134"/>
      <c r="T32" s="277"/>
      <c r="V32" s="135"/>
    </row>
    <row r="33" spans="1:22" s="91" customFormat="1" ht="15.95" customHeight="1">
      <c r="A33" s="138"/>
      <c r="B33" s="136"/>
      <c r="C33" s="136"/>
      <c r="D33" s="136"/>
      <c r="E33" s="136"/>
      <c r="F33" s="136"/>
      <c r="G33" s="136"/>
      <c r="H33" s="136"/>
      <c r="I33" s="136"/>
      <c r="J33" s="136"/>
      <c r="K33" s="136"/>
      <c r="L33" s="136"/>
      <c r="M33" s="136"/>
      <c r="N33" s="136"/>
      <c r="O33" s="136"/>
      <c r="P33" s="136"/>
      <c r="Q33" s="136"/>
      <c r="R33" s="136"/>
      <c r="S33" s="134"/>
      <c r="T33" s="277"/>
      <c r="V33" s="135"/>
    </row>
    <row r="34" spans="1:22" s="91" customFormat="1">
      <c r="A34" s="138"/>
      <c r="B34" s="136"/>
      <c r="C34" s="136"/>
      <c r="D34" s="136"/>
      <c r="E34" s="136"/>
      <c r="F34" s="136"/>
      <c r="G34" s="136"/>
      <c r="H34" s="136"/>
      <c r="I34" s="136"/>
      <c r="J34" s="136"/>
      <c r="K34" s="136"/>
      <c r="L34" s="136"/>
      <c r="M34" s="136"/>
      <c r="N34" s="136"/>
      <c r="O34" s="136"/>
      <c r="P34" s="90"/>
      <c r="Q34" s="90"/>
      <c r="R34" s="90"/>
      <c r="S34" s="134"/>
      <c r="T34" s="277"/>
    </row>
    <row r="35" spans="1:22">
      <c r="A35" s="138" t="s">
        <v>481</v>
      </c>
      <c r="B35" s="128">
        <v>12736073308</v>
      </c>
      <c r="D35" s="128">
        <v>1016467446</v>
      </c>
      <c r="F35" s="128">
        <v>300000000</v>
      </c>
      <c r="H35" s="128">
        <v>100000000</v>
      </c>
      <c r="J35" s="128">
        <v>1096913529</v>
      </c>
      <c r="L35" s="128">
        <v>-56102199</v>
      </c>
      <c r="N35" s="128">
        <v>652503</v>
      </c>
      <c r="P35" s="128">
        <v>4001931382</v>
      </c>
      <c r="R35" s="128">
        <f>SUM(B35:P35)</f>
        <v>19195935969</v>
      </c>
    </row>
    <row r="37" spans="1:22" ht="15.95" customHeight="1">
      <c r="A37" s="138" t="s">
        <v>476</v>
      </c>
      <c r="B37" s="142"/>
      <c r="C37" s="142"/>
      <c r="D37" s="137"/>
      <c r="E37" s="137"/>
      <c r="F37" s="137"/>
      <c r="G37" s="137"/>
      <c r="H37" s="137"/>
      <c r="I37" s="137"/>
      <c r="J37" s="137"/>
      <c r="K37" s="137"/>
      <c r="L37" s="137"/>
      <c r="M37" s="137"/>
      <c r="N37" s="137"/>
      <c r="O37" s="137"/>
      <c r="P37" s="79"/>
      <c r="Q37" s="79"/>
      <c r="R37" s="407"/>
    </row>
    <row r="38" spans="1:22" ht="15.95" customHeight="1">
      <c r="A38" s="139" t="s">
        <v>477</v>
      </c>
      <c r="B38" s="137"/>
      <c r="C38" s="137"/>
      <c r="D38" s="137"/>
      <c r="E38" s="137"/>
      <c r="F38" s="137"/>
      <c r="G38" s="137"/>
      <c r="H38" s="137"/>
      <c r="I38" s="137"/>
      <c r="J38" s="137"/>
      <c r="K38" s="137"/>
      <c r="L38" s="137"/>
      <c r="M38" s="137"/>
      <c r="N38" s="137"/>
      <c r="O38" s="137"/>
      <c r="P38" s="338">
        <f>'Compreh. Income (C &amp; G)'!B8</f>
        <v>1746988861.9799995</v>
      </c>
      <c r="Q38" s="79"/>
      <c r="R38" s="79">
        <f>SUM(B38:Q38)</f>
        <v>1746988861.9799995</v>
      </c>
    </row>
    <row r="39" spans="1:22" ht="15.95" customHeight="1">
      <c r="A39" s="139" t="s">
        <v>120</v>
      </c>
      <c r="B39" s="137"/>
      <c r="C39" s="137"/>
      <c r="D39" s="137"/>
      <c r="E39" s="137"/>
      <c r="F39" s="137"/>
      <c r="G39" s="137"/>
      <c r="H39" s="137"/>
      <c r="I39" s="137"/>
      <c r="J39" s="137"/>
      <c r="K39" s="137"/>
      <c r="L39" s="338">
        <f>'Compreh. Income (C &amp; G)'!B13</f>
        <v>150811609</v>
      </c>
      <c r="M39" s="137"/>
      <c r="N39" s="338">
        <f>'Compreh. Income (C &amp; G)'!B12</f>
        <v>-58957007</v>
      </c>
      <c r="O39" s="137"/>
      <c r="P39" s="338">
        <f>'Compreh. Income (C &amp; G)'!B11-'Compreh. Income (C &amp; G)'!B14</f>
        <v>0</v>
      </c>
      <c r="Q39" s="79"/>
      <c r="R39" s="79">
        <f>SUM(B39:Q39)</f>
        <v>91854602</v>
      </c>
    </row>
    <row r="40" spans="1:22" ht="15.95" customHeight="1">
      <c r="A40" s="139"/>
      <c r="B40" s="137"/>
      <c r="C40" s="137"/>
      <c r="D40" s="137"/>
      <c r="E40" s="137"/>
      <c r="F40" s="137"/>
      <c r="G40" s="137"/>
      <c r="H40" s="137"/>
      <c r="I40" s="137"/>
      <c r="J40" s="137"/>
      <c r="K40" s="137"/>
      <c r="L40" s="137"/>
      <c r="M40" s="137"/>
      <c r="N40" s="137"/>
      <c r="O40" s="137"/>
      <c r="P40" s="79"/>
      <c r="Q40" s="79"/>
      <c r="R40" s="79">
        <f t="shared" ref="R40:R45" si="5">SUM(B40:Q40)</f>
        <v>0</v>
      </c>
    </row>
    <row r="41" spans="1:22" ht="15.95" customHeight="1">
      <c r="A41" s="143" t="s">
        <v>121</v>
      </c>
      <c r="B41" s="137"/>
      <c r="C41" s="137"/>
      <c r="D41" s="137"/>
      <c r="E41" s="137"/>
      <c r="F41" s="137"/>
      <c r="G41" s="137"/>
      <c r="H41" s="137"/>
      <c r="I41" s="137"/>
      <c r="J41" s="137"/>
      <c r="K41" s="137"/>
      <c r="L41" s="137"/>
      <c r="M41" s="137"/>
      <c r="N41" s="137"/>
      <c r="O41" s="137"/>
      <c r="P41" s="79"/>
      <c r="Q41" s="79"/>
      <c r="R41" s="79">
        <f t="shared" si="5"/>
        <v>0</v>
      </c>
    </row>
    <row r="42" spans="1:22" ht="15.95" customHeight="1">
      <c r="A42" s="243" t="s">
        <v>326</v>
      </c>
      <c r="B42" s="244"/>
      <c r="C42" s="137"/>
      <c r="D42" s="137"/>
      <c r="E42" s="137"/>
      <c r="F42" s="137"/>
      <c r="G42" s="137"/>
      <c r="H42" s="137"/>
      <c r="I42" s="137"/>
      <c r="J42" s="137"/>
      <c r="K42" s="137"/>
      <c r="L42" s="137"/>
      <c r="M42" s="137"/>
      <c r="N42" s="137"/>
      <c r="O42" s="137"/>
      <c r="P42" s="79">
        <f>-B42</f>
        <v>0</v>
      </c>
      <c r="Q42" s="79"/>
      <c r="R42" s="79">
        <f t="shared" si="5"/>
        <v>0</v>
      </c>
    </row>
    <row r="43" spans="1:22" ht="15.95" customHeight="1">
      <c r="A43" s="139" t="s">
        <v>143</v>
      </c>
      <c r="B43" s="137">
        <v>50000000</v>
      </c>
      <c r="C43" s="137"/>
      <c r="D43" s="137"/>
      <c r="E43" s="137"/>
      <c r="F43" s="137"/>
      <c r="G43" s="137"/>
      <c r="H43" s="137"/>
      <c r="I43" s="137"/>
      <c r="J43" s="137"/>
      <c r="K43" s="137"/>
      <c r="L43" s="137"/>
      <c r="M43" s="137"/>
      <c r="N43" s="137"/>
      <c r="O43" s="137"/>
      <c r="P43" s="79">
        <f>-B43</f>
        <v>-50000000</v>
      </c>
      <c r="Q43" s="79"/>
      <c r="R43" s="79">
        <f t="shared" si="5"/>
        <v>0</v>
      </c>
    </row>
    <row r="44" spans="1:22" ht="15.95" customHeight="1">
      <c r="A44" s="139" t="s">
        <v>122</v>
      </c>
      <c r="B44" s="137"/>
      <c r="C44" s="137"/>
      <c r="D44" s="137">
        <v>33792232</v>
      </c>
      <c r="E44" s="137"/>
      <c r="F44" s="137"/>
      <c r="G44" s="137"/>
      <c r="H44" s="137"/>
      <c r="I44" s="137"/>
      <c r="J44" s="137">
        <v>28006584</v>
      </c>
      <c r="K44" s="137"/>
      <c r="L44" s="137"/>
      <c r="M44" s="137"/>
      <c r="N44" s="137"/>
      <c r="O44" s="137"/>
      <c r="P44" s="79">
        <f>-D44-J44</f>
        <v>-61798816</v>
      </c>
      <c r="Q44" s="79"/>
      <c r="R44" s="79">
        <f t="shared" si="5"/>
        <v>0</v>
      </c>
    </row>
    <row r="45" spans="1:22" ht="12.75" customHeight="1">
      <c r="A45" s="139" t="s">
        <v>123</v>
      </c>
      <c r="B45" s="137"/>
      <c r="C45" s="137"/>
      <c r="D45" s="137"/>
      <c r="E45" s="137"/>
      <c r="F45" s="137"/>
      <c r="G45" s="137"/>
      <c r="H45" s="137"/>
      <c r="I45" s="137"/>
      <c r="J45" s="137"/>
      <c r="K45" s="137"/>
      <c r="L45" s="137"/>
      <c r="M45" s="137"/>
      <c r="N45" s="137"/>
      <c r="O45" s="137"/>
      <c r="P45" s="79">
        <v>-789931241</v>
      </c>
      <c r="Q45" s="79"/>
      <c r="R45" s="79">
        <f t="shared" si="5"/>
        <v>-789931241</v>
      </c>
    </row>
    <row r="46" spans="1:22">
      <c r="A46" s="139"/>
      <c r="B46" s="137"/>
      <c r="C46" s="137"/>
      <c r="D46" s="137"/>
      <c r="E46" s="137"/>
      <c r="F46" s="137"/>
      <c r="G46" s="137"/>
      <c r="H46" s="137"/>
      <c r="I46" s="137"/>
      <c r="J46" s="137"/>
      <c r="K46" s="137"/>
      <c r="L46" s="137"/>
      <c r="M46" s="137"/>
      <c r="N46" s="137"/>
      <c r="O46" s="137"/>
      <c r="P46" s="79"/>
      <c r="Q46" s="79"/>
      <c r="R46" s="79"/>
    </row>
    <row r="47" spans="1:22" s="91" customFormat="1" ht="15.95" customHeight="1" thickBot="1">
      <c r="A47" s="138" t="s">
        <v>482</v>
      </c>
      <c r="B47" s="273">
        <f>SUM(B35:B46)</f>
        <v>12786073308</v>
      </c>
      <c r="C47" s="136"/>
      <c r="D47" s="273">
        <f>SUM(D35:D46)</f>
        <v>1050259678</v>
      </c>
      <c r="E47" s="136"/>
      <c r="F47" s="273">
        <f>SUM(F35:F46)</f>
        <v>300000000</v>
      </c>
      <c r="G47" s="136"/>
      <c r="H47" s="273">
        <f>SUM(H35:H46)</f>
        <v>100000000</v>
      </c>
      <c r="I47" s="136"/>
      <c r="J47" s="273">
        <f>SUM(J35:J46)</f>
        <v>1124920113</v>
      </c>
      <c r="K47" s="136"/>
      <c r="L47" s="273">
        <f>SUM(L35:L46)</f>
        <v>94709410</v>
      </c>
      <c r="M47" s="136"/>
      <c r="N47" s="273">
        <f>SUM(N35:N46)</f>
        <v>-58304504</v>
      </c>
      <c r="O47" s="136"/>
      <c r="P47" s="273">
        <f>SUM(P35:P46)</f>
        <v>4847190186.9799995</v>
      </c>
      <c r="Q47" s="136"/>
      <c r="R47" s="273">
        <f>SUM(R35:R46)</f>
        <v>20244848191.98</v>
      </c>
      <c r="S47" s="134"/>
      <c r="T47" s="277"/>
      <c r="V47" s="135"/>
    </row>
    <row r="49" spans="1:20">
      <c r="A49" s="1" t="s">
        <v>146</v>
      </c>
      <c r="B49" s="115"/>
    </row>
    <row r="50" spans="1:20">
      <c r="A50" s="115" t="s">
        <v>177</v>
      </c>
      <c r="B50" s="115"/>
    </row>
    <row r="53" spans="1:20">
      <c r="A53" s="76" t="s">
        <v>501</v>
      </c>
      <c r="B53" s="128">
        <v>12736073308</v>
      </c>
      <c r="C53" s="128">
        <v>0</v>
      </c>
      <c r="D53" s="128">
        <v>1016467446</v>
      </c>
      <c r="E53" s="128">
        <v>0</v>
      </c>
      <c r="F53" s="128">
        <v>300000000</v>
      </c>
      <c r="G53" s="128">
        <v>0</v>
      </c>
      <c r="H53" s="128">
        <v>100000000</v>
      </c>
      <c r="I53" s="128">
        <v>0</v>
      </c>
      <c r="J53" s="128">
        <v>1096913529</v>
      </c>
      <c r="K53" s="128">
        <v>0</v>
      </c>
      <c r="L53" s="128">
        <v>-56102199</v>
      </c>
      <c r="N53" s="128">
        <v>652503</v>
      </c>
      <c r="O53" s="128">
        <v>0</v>
      </c>
      <c r="P53" s="74">
        <v>4001931382</v>
      </c>
      <c r="Q53" s="74">
        <v>0</v>
      </c>
      <c r="R53" s="74">
        <v>19195935969</v>
      </c>
    </row>
    <row r="55" spans="1:20" s="340" customFormat="1">
      <c r="A55" s="340" t="s">
        <v>411</v>
      </c>
      <c r="B55" s="341">
        <f>B32-B53</f>
        <v>0</v>
      </c>
      <c r="C55" s="341"/>
      <c r="D55" s="341">
        <f>D32-D53</f>
        <v>0</v>
      </c>
      <c r="E55" s="341"/>
      <c r="F55" s="341">
        <f>F32-F53</f>
        <v>0</v>
      </c>
      <c r="G55" s="341"/>
      <c r="H55" s="341">
        <f>H32-H53</f>
        <v>0</v>
      </c>
      <c r="I55" s="341"/>
      <c r="J55" s="341">
        <f>J32-J53</f>
        <v>0</v>
      </c>
      <c r="K55" s="341"/>
      <c r="L55" s="341">
        <f>L32-L53</f>
        <v>0</v>
      </c>
      <c r="M55" s="341"/>
      <c r="N55" s="341">
        <f>N32-N53</f>
        <v>0</v>
      </c>
      <c r="O55" s="341"/>
      <c r="P55" s="341">
        <f>P32-P53</f>
        <v>0</v>
      </c>
      <c r="Q55" s="342"/>
      <c r="R55" s="341">
        <f>R32-R53</f>
        <v>0</v>
      </c>
      <c r="S55" s="342"/>
      <c r="T55" s="279"/>
    </row>
    <row r="58" spans="1:20">
      <c r="A58" s="76" t="s">
        <v>412</v>
      </c>
      <c r="B58" s="128">
        <f>'BS (3)'!C40</f>
        <v>12836073308</v>
      </c>
      <c r="D58" s="128">
        <f>'BS (3)'!C41</f>
        <v>1103066889</v>
      </c>
      <c r="F58" s="128">
        <f>'BS (3)'!C43</f>
        <v>1612227887</v>
      </c>
      <c r="P58" s="74">
        <f>'BS (3)'!C42</f>
        <v>4693338073</v>
      </c>
      <c r="R58" s="74">
        <f>'BS (3)'!C44</f>
        <v>20244706157</v>
      </c>
    </row>
    <row r="60" spans="1:20" s="340" customFormat="1">
      <c r="A60" s="340" t="s">
        <v>411</v>
      </c>
      <c r="B60" s="341">
        <f>B47-B58</f>
        <v>-50000000</v>
      </c>
      <c r="C60" s="341"/>
      <c r="D60" s="341">
        <f>D47-D58</f>
        <v>-52807211</v>
      </c>
      <c r="E60" s="341"/>
      <c r="F60" s="341">
        <f>SUM(F47:N47)-F58</f>
        <v>-50902868</v>
      </c>
      <c r="G60" s="341"/>
      <c r="H60" s="341"/>
      <c r="I60" s="341"/>
      <c r="J60" s="341"/>
      <c r="K60" s="341"/>
      <c r="L60" s="341"/>
      <c r="M60" s="341"/>
      <c r="N60" s="341"/>
      <c r="O60" s="341"/>
      <c r="P60" s="341">
        <f>P47-P58</f>
        <v>153852113.97999954</v>
      </c>
      <c r="Q60" s="342"/>
      <c r="R60" s="341">
        <f>R47-R58</f>
        <v>142034.97999954224</v>
      </c>
      <c r="S60" s="342"/>
      <c r="T60" s="279"/>
    </row>
  </sheetData>
  <mergeCells count="5">
    <mergeCell ref="A1:R1"/>
    <mergeCell ref="A5:A6"/>
    <mergeCell ref="D5:D6"/>
    <mergeCell ref="F5:L5"/>
    <mergeCell ref="R5:R6"/>
  </mergeCells>
  <pageMargins left="0.55000000000000004" right="0.24" top="0.27" bottom="0.2" header="0.25" footer="0.17"/>
  <pageSetup paperSize="9" scale="58" orientation="landscape" r:id="rId1"/>
</worksheet>
</file>

<file path=xl/worksheets/sheet36.xml><?xml version="1.0" encoding="utf-8"?>
<worksheet xmlns="http://schemas.openxmlformats.org/spreadsheetml/2006/main" xmlns:r="http://schemas.openxmlformats.org/officeDocument/2006/relationships">
  <sheetPr>
    <tabColor rgb="FF00B050"/>
  </sheetPr>
  <dimension ref="A1:AB56"/>
  <sheetViews>
    <sheetView view="pageBreakPreview" zoomScale="80" zoomScaleSheetLayoutView="80" workbookViewId="0">
      <pane xSplit="1" ySplit="5" topLeftCell="J6" activePane="bottomRight" state="frozen"/>
      <selection activeCell="C8" sqref="C8"/>
      <selection pane="topRight" activeCell="C8" sqref="C8"/>
      <selection pane="bottomLeft" activeCell="C8" sqref="C8"/>
      <selection pane="bottomRight" activeCell="C8" sqref="C8"/>
    </sheetView>
  </sheetViews>
  <sheetFormatPr defaultColWidth="9.140625" defaultRowHeight="15.75"/>
  <cols>
    <col min="1" max="1" width="66.85546875" style="76" customWidth="1"/>
    <col min="2" max="2" width="18.140625" style="128" customWidth="1"/>
    <col min="3" max="3" width="0.85546875" style="128" customWidth="1"/>
    <col min="4" max="4" width="16.7109375" style="128" customWidth="1"/>
    <col min="5" max="5" width="0.85546875" style="128" customWidth="1"/>
    <col min="6" max="6" width="15.5703125" style="128" customWidth="1"/>
    <col min="7" max="7" width="0.85546875" style="128" customWidth="1"/>
    <col min="8" max="8" width="14.5703125" style="128" customWidth="1"/>
    <col min="9" max="9" width="0.85546875" style="128" customWidth="1"/>
    <col min="10" max="10" width="17.42578125" style="128" customWidth="1"/>
    <col min="11" max="11" width="0.85546875" style="128" customWidth="1"/>
    <col min="12" max="12" width="15.85546875" style="128" customWidth="1"/>
    <col min="13" max="13" width="0.85546875" style="128" customWidth="1"/>
    <col min="14" max="14" width="16.140625" style="128" customWidth="1"/>
    <col min="15" max="15" width="0.7109375" style="128" customWidth="1"/>
    <col min="16" max="16" width="16.140625" style="128" customWidth="1"/>
    <col min="17" max="17" width="0.85546875" style="128" customWidth="1"/>
    <col min="18" max="18" width="17.5703125" style="74" customWidth="1"/>
    <col min="19" max="19" width="1" style="74" customWidth="1"/>
    <col min="20" max="20" width="18.28515625" style="74" customWidth="1"/>
    <col min="21" max="21" width="1.140625" style="74" customWidth="1"/>
    <col min="22" max="22" width="17.5703125" style="74" customWidth="1"/>
    <col min="23" max="23" width="0.85546875" style="74" customWidth="1"/>
    <col min="24" max="24" width="18.140625" style="74" bestFit="1" customWidth="1"/>
    <col min="25" max="25" width="21" style="74" bestFit="1" customWidth="1"/>
    <col min="26" max="26" width="20.140625" style="237" bestFit="1" customWidth="1"/>
    <col min="27" max="27" width="18" style="76" bestFit="1" customWidth="1"/>
    <col min="28" max="16384" width="9.140625" style="76"/>
  </cols>
  <sheetData>
    <row r="1" spans="1:26" ht="15.95" customHeight="1">
      <c r="A1" s="1798" t="s">
        <v>186</v>
      </c>
      <c r="B1" s="1799"/>
      <c r="C1" s="1799"/>
      <c r="D1" s="1799"/>
      <c r="E1" s="1799"/>
      <c r="F1" s="1799"/>
      <c r="G1" s="1799"/>
      <c r="H1" s="1799"/>
      <c r="I1" s="1799"/>
      <c r="J1" s="1799"/>
      <c r="K1" s="1799"/>
      <c r="L1" s="1799"/>
      <c r="M1" s="1799"/>
      <c r="N1" s="1799"/>
      <c r="O1" s="1799"/>
      <c r="P1" s="1799"/>
      <c r="Q1" s="1799"/>
      <c r="R1" s="1799"/>
      <c r="S1" s="1799"/>
      <c r="T1" s="1799"/>
      <c r="U1" s="1799"/>
      <c r="V1" s="1799"/>
      <c r="W1" s="1799"/>
      <c r="X1" s="1799"/>
    </row>
    <row r="2" spans="1:26" ht="15.95" customHeight="1">
      <c r="A2" s="91"/>
    </row>
    <row r="3" spans="1:26" s="130" customFormat="1" ht="15.95" customHeight="1" thickBot="1">
      <c r="A3" s="1794"/>
      <c r="B3" s="140"/>
      <c r="C3" s="140"/>
      <c r="D3" s="1795" t="s">
        <v>183</v>
      </c>
      <c r="E3" s="140"/>
      <c r="F3" s="1796" t="s">
        <v>114</v>
      </c>
      <c r="G3" s="1796"/>
      <c r="H3" s="1796"/>
      <c r="I3" s="1796"/>
      <c r="J3" s="1796"/>
      <c r="K3" s="1796"/>
      <c r="L3" s="1796"/>
      <c r="M3" s="1796"/>
      <c r="N3" s="1796"/>
      <c r="O3" s="409"/>
      <c r="P3" s="409"/>
      <c r="Q3" s="149"/>
      <c r="R3" s="150"/>
      <c r="S3" s="150"/>
      <c r="T3" s="150"/>
      <c r="U3" s="150"/>
      <c r="V3" s="150"/>
      <c r="W3" s="140"/>
      <c r="X3" s="1797" t="s">
        <v>115</v>
      </c>
      <c r="Y3" s="129"/>
      <c r="Z3" s="412"/>
    </row>
    <row r="4" spans="1:26" s="130" customFormat="1" ht="46.5" customHeight="1">
      <c r="A4" s="1794"/>
      <c r="B4" s="140" t="s">
        <v>180</v>
      </c>
      <c r="C4" s="140"/>
      <c r="D4" s="1795"/>
      <c r="E4" s="140"/>
      <c r="F4" s="140" t="s">
        <v>116</v>
      </c>
      <c r="G4" s="140"/>
      <c r="H4" s="140" t="s">
        <v>184</v>
      </c>
      <c r="I4" s="140"/>
      <c r="J4" s="140" t="s">
        <v>117</v>
      </c>
      <c r="K4" s="140"/>
      <c r="L4" s="346" t="s">
        <v>419</v>
      </c>
      <c r="M4" s="346"/>
      <c r="N4" s="140" t="s">
        <v>118</v>
      </c>
      <c r="O4" s="408"/>
      <c r="P4" s="408" t="s">
        <v>448</v>
      </c>
      <c r="Q4" s="140"/>
      <c r="R4" s="141" t="s">
        <v>119</v>
      </c>
      <c r="S4" s="422"/>
      <c r="T4" s="422" t="s">
        <v>23</v>
      </c>
      <c r="U4" s="422"/>
      <c r="V4" s="422" t="s">
        <v>452</v>
      </c>
      <c r="W4" s="141"/>
      <c r="X4" s="1797"/>
      <c r="Y4" s="129"/>
      <c r="Z4" s="412"/>
    </row>
    <row r="5" spans="1:26" s="130" customFormat="1" ht="15.95" customHeight="1" thickBot="1">
      <c r="A5" s="145"/>
      <c r="B5" s="144" t="s">
        <v>185</v>
      </c>
      <c r="C5" s="144"/>
      <c r="D5" s="144" t="s">
        <v>185</v>
      </c>
      <c r="E5" s="144"/>
      <c r="F5" s="144" t="s">
        <v>185</v>
      </c>
      <c r="G5" s="144"/>
      <c r="H5" s="144" t="s">
        <v>185</v>
      </c>
      <c r="I5" s="144"/>
      <c r="J5" s="144" t="s">
        <v>185</v>
      </c>
      <c r="K5" s="144"/>
      <c r="L5" s="347" t="s">
        <v>150</v>
      </c>
      <c r="M5" s="347"/>
      <c r="N5" s="144" t="s">
        <v>185</v>
      </c>
      <c r="O5" s="409"/>
      <c r="P5" s="409" t="s">
        <v>185</v>
      </c>
      <c r="Q5" s="144"/>
      <c r="R5" s="144" t="s">
        <v>185</v>
      </c>
      <c r="S5" s="423"/>
      <c r="T5" s="423" t="s">
        <v>185</v>
      </c>
      <c r="U5" s="423"/>
      <c r="V5" s="423" t="s">
        <v>185</v>
      </c>
      <c r="W5" s="144"/>
      <c r="X5" s="144" t="s">
        <v>185</v>
      </c>
      <c r="Y5" s="129"/>
      <c r="Z5" s="412"/>
    </row>
    <row r="6" spans="1:26" ht="15.95" customHeight="1">
      <c r="A6" s="131"/>
      <c r="B6" s="132"/>
      <c r="C6" s="132"/>
      <c r="D6" s="132"/>
      <c r="E6" s="132"/>
      <c r="F6" s="132"/>
      <c r="G6" s="132"/>
      <c r="H6" s="132"/>
      <c r="I6" s="132"/>
      <c r="J6" s="132"/>
      <c r="K6" s="132"/>
      <c r="L6" s="132"/>
      <c r="M6" s="132"/>
      <c r="N6" s="132"/>
      <c r="O6" s="132"/>
      <c r="P6" s="132"/>
      <c r="Q6" s="132"/>
      <c r="R6" s="133"/>
      <c r="S6" s="133"/>
      <c r="T6" s="133"/>
      <c r="U6" s="133"/>
      <c r="V6" s="133"/>
      <c r="W6" s="133"/>
      <c r="X6" s="133"/>
    </row>
    <row r="7" spans="1:26" s="91" customFormat="1" ht="15.95" customHeight="1">
      <c r="A7" s="138" t="s">
        <v>335</v>
      </c>
      <c r="B7" s="136">
        <v>12536073308</v>
      </c>
      <c r="C7" s="136"/>
      <c r="D7" s="136">
        <v>860280276</v>
      </c>
      <c r="E7" s="136"/>
      <c r="F7" s="136">
        <v>300000000</v>
      </c>
      <c r="G7" s="136"/>
      <c r="H7" s="136">
        <v>100000000</v>
      </c>
      <c r="I7" s="136"/>
      <c r="J7" s="136">
        <v>851746698</v>
      </c>
      <c r="K7" s="136"/>
      <c r="L7" s="136">
        <v>0</v>
      </c>
      <c r="M7" s="136"/>
      <c r="N7" s="136">
        <v>-119310506</v>
      </c>
      <c r="O7" s="136"/>
      <c r="P7" s="136">
        <v>0</v>
      </c>
      <c r="Q7" s="136"/>
      <c r="R7" s="1183">
        <v>3723586399</v>
      </c>
      <c r="S7" s="90"/>
      <c r="T7" s="90">
        <f>SUM(B7:R7)</f>
        <v>18252376175</v>
      </c>
      <c r="U7" s="90"/>
      <c r="V7" s="90">
        <v>0</v>
      </c>
      <c r="W7" s="136"/>
      <c r="X7" s="136">
        <f>T7+V7</f>
        <v>18252376175</v>
      </c>
      <c r="Y7" s="134"/>
      <c r="Z7" s="275">
        <v>3443771661</v>
      </c>
    </row>
    <row r="8" spans="1:26" ht="15.95" customHeight="1">
      <c r="A8" s="138" t="s">
        <v>479</v>
      </c>
      <c r="B8" s="142"/>
      <c r="C8" s="142"/>
      <c r="D8" s="137"/>
      <c r="E8" s="137"/>
      <c r="F8" s="137"/>
      <c r="G8" s="137"/>
      <c r="H8" s="137"/>
      <c r="I8" s="137"/>
      <c r="J8" s="137"/>
      <c r="K8" s="137"/>
      <c r="L8" s="137"/>
      <c r="M8" s="137"/>
      <c r="N8" s="137"/>
      <c r="O8" s="137"/>
      <c r="P8" s="137"/>
      <c r="Q8" s="137"/>
      <c r="R8" s="79"/>
      <c r="S8" s="79"/>
      <c r="T8" s="79"/>
      <c r="U8" s="79"/>
      <c r="V8" s="79"/>
      <c r="W8" s="79"/>
      <c r="X8" s="79"/>
      <c r="Z8" s="237">
        <v>-171043790</v>
      </c>
    </row>
    <row r="9" spans="1:26" ht="15.95" customHeight="1">
      <c r="A9" s="139" t="s">
        <v>480</v>
      </c>
      <c r="B9" s="137"/>
      <c r="C9" s="137"/>
      <c r="D9" s="137"/>
      <c r="E9" s="137"/>
      <c r="F9" s="137"/>
      <c r="G9" s="137"/>
      <c r="H9" s="137"/>
      <c r="I9" s="137"/>
      <c r="J9" s="137"/>
      <c r="K9" s="137"/>
      <c r="L9" s="137"/>
      <c r="M9" s="137"/>
      <c r="N9" s="137"/>
      <c r="O9" s="137"/>
      <c r="P9" s="137"/>
      <c r="Q9" s="137"/>
      <c r="R9" s="338">
        <f>'Compreh. Income (C &amp; G)'!J8</f>
        <v>1467012043.823</v>
      </c>
      <c r="S9" s="79"/>
      <c r="T9" s="79">
        <f>SUM(B9:R9)</f>
        <v>1467012043.823</v>
      </c>
      <c r="U9" s="79"/>
      <c r="V9" s="79"/>
      <c r="W9" s="79"/>
      <c r="X9" s="79">
        <f>T9+V9</f>
        <v>1467012043.823</v>
      </c>
      <c r="Z9" s="237">
        <f>SUM(Z7:Z8)</f>
        <v>3272727871</v>
      </c>
    </row>
    <row r="10" spans="1:26" ht="15.95" customHeight="1">
      <c r="A10" s="139" t="s">
        <v>120</v>
      </c>
      <c r="B10" s="137"/>
      <c r="C10" s="137"/>
      <c r="D10" s="137"/>
      <c r="E10" s="137"/>
      <c r="F10" s="137"/>
      <c r="G10" s="137"/>
      <c r="H10" s="137"/>
      <c r="I10" s="137"/>
      <c r="J10" s="137"/>
      <c r="K10" s="137"/>
      <c r="L10" s="137"/>
      <c r="M10" s="137"/>
      <c r="N10" s="338">
        <f>'Compreh. Income (C &amp; G)'!J13</f>
        <v>1584062</v>
      </c>
      <c r="O10" s="338"/>
      <c r="P10" s="338"/>
      <c r="Q10" s="137"/>
      <c r="R10" s="79"/>
      <c r="S10" s="79"/>
      <c r="T10" s="79">
        <f t="shared" ref="T10:T16" si="0">SUM(B10:R10)</f>
        <v>1584062</v>
      </c>
      <c r="U10" s="79"/>
      <c r="V10" s="79"/>
      <c r="W10" s="79"/>
      <c r="X10" s="79">
        <f t="shared" ref="X10:X16" si="1">T10+V10</f>
        <v>1584062</v>
      </c>
    </row>
    <row r="11" spans="1:26" ht="15.95" customHeight="1">
      <c r="A11" s="139"/>
      <c r="B11" s="137"/>
      <c r="C11" s="137"/>
      <c r="D11" s="137"/>
      <c r="E11" s="137"/>
      <c r="F11" s="137"/>
      <c r="G11" s="137"/>
      <c r="H11" s="137"/>
      <c r="I11" s="137"/>
      <c r="J11" s="137"/>
      <c r="K11" s="137"/>
      <c r="L11" s="137"/>
      <c r="M11" s="137"/>
      <c r="N11" s="137"/>
      <c r="O11" s="137"/>
      <c r="P11" s="137"/>
      <c r="Q11" s="137"/>
      <c r="R11" s="79"/>
      <c r="S11" s="79"/>
      <c r="T11" s="79">
        <f t="shared" si="0"/>
        <v>0</v>
      </c>
      <c r="U11" s="79"/>
      <c r="V11" s="79"/>
      <c r="W11" s="79"/>
      <c r="X11" s="79">
        <f t="shared" si="1"/>
        <v>0</v>
      </c>
    </row>
    <row r="12" spans="1:26" ht="15.95" customHeight="1">
      <c r="A12" s="143" t="s">
        <v>121</v>
      </c>
      <c r="B12" s="137"/>
      <c r="C12" s="137"/>
      <c r="D12" s="137"/>
      <c r="E12" s="137"/>
      <c r="F12" s="137"/>
      <c r="G12" s="137"/>
      <c r="H12" s="137"/>
      <c r="I12" s="137"/>
      <c r="J12" s="137"/>
      <c r="K12" s="137"/>
      <c r="L12" s="137"/>
      <c r="M12" s="137"/>
      <c r="N12" s="137"/>
      <c r="O12" s="137"/>
      <c r="P12" s="137"/>
      <c r="Q12" s="137"/>
      <c r="R12" s="79"/>
      <c r="S12" s="79"/>
      <c r="T12" s="79">
        <f t="shared" si="0"/>
        <v>0</v>
      </c>
      <c r="U12" s="79"/>
      <c r="V12" s="79"/>
      <c r="W12" s="79"/>
      <c r="X12" s="79">
        <f t="shared" si="1"/>
        <v>0</v>
      </c>
    </row>
    <row r="13" spans="1:26" ht="15.95" customHeight="1">
      <c r="A13" s="139" t="s">
        <v>143</v>
      </c>
      <c r="B13" s="338">
        <f>50000000</f>
        <v>50000000</v>
      </c>
      <c r="C13" s="137"/>
      <c r="D13" s="137"/>
      <c r="E13" s="137"/>
      <c r="F13" s="137"/>
      <c r="G13" s="137"/>
      <c r="H13" s="137"/>
      <c r="I13" s="137"/>
      <c r="J13" s="137"/>
      <c r="K13" s="137"/>
      <c r="L13" s="137"/>
      <c r="M13" s="137"/>
      <c r="N13" s="137"/>
      <c r="O13" s="137"/>
      <c r="P13" s="137"/>
      <c r="Q13" s="137"/>
      <c r="R13" s="338">
        <f>-B13</f>
        <v>-50000000</v>
      </c>
      <c r="S13" s="79"/>
      <c r="T13" s="79">
        <f t="shared" si="0"/>
        <v>0</v>
      </c>
      <c r="U13" s="79"/>
      <c r="V13" s="79"/>
      <c r="W13" s="79"/>
      <c r="X13" s="79">
        <f t="shared" si="1"/>
        <v>0</v>
      </c>
    </row>
    <row r="14" spans="1:26" ht="15.95" customHeight="1">
      <c r="A14" s="139" t="s">
        <v>453</v>
      </c>
      <c r="B14" s="338"/>
      <c r="C14" s="137"/>
      <c r="D14" s="137"/>
      <c r="E14" s="137"/>
      <c r="F14" s="137"/>
      <c r="G14" s="137"/>
      <c r="H14" s="137"/>
      <c r="I14" s="137"/>
      <c r="J14" s="137"/>
      <c r="K14" s="137"/>
      <c r="L14" s="137"/>
      <c r="M14" s="137"/>
      <c r="N14" s="137"/>
      <c r="O14" s="137"/>
      <c r="P14" s="137"/>
      <c r="Q14" s="137"/>
      <c r="R14" s="338">
        <v>0</v>
      </c>
      <c r="S14" s="79"/>
      <c r="T14" s="79">
        <f t="shared" si="0"/>
        <v>0</v>
      </c>
      <c r="U14" s="79"/>
      <c r="V14" s="79"/>
      <c r="W14" s="79"/>
      <c r="X14" s="79">
        <f t="shared" si="1"/>
        <v>0</v>
      </c>
    </row>
    <row r="15" spans="1:26" ht="15.95" customHeight="1">
      <c r="A15" s="139" t="s">
        <v>122</v>
      </c>
      <c r="B15" s="137"/>
      <c r="C15" s="137"/>
      <c r="D15" s="338">
        <v>33240292.769999981</v>
      </c>
      <c r="E15" s="137"/>
      <c r="G15" s="137"/>
      <c r="H15" s="137"/>
      <c r="I15" s="137"/>
      <c r="J15" s="338">
        <v>88265743.679999948</v>
      </c>
      <c r="K15" s="137"/>
      <c r="L15" s="137"/>
      <c r="M15" s="137"/>
      <c r="N15" s="137"/>
      <c r="O15" s="137"/>
      <c r="P15" s="137"/>
      <c r="Q15" s="137"/>
      <c r="R15" s="79">
        <f>-D15-J15</f>
        <v>-121506036.44999993</v>
      </c>
      <c r="S15" s="79"/>
      <c r="T15" s="79">
        <f t="shared" si="0"/>
        <v>0</v>
      </c>
      <c r="U15" s="79"/>
      <c r="V15" s="79"/>
      <c r="W15" s="79"/>
      <c r="X15" s="79">
        <f t="shared" si="1"/>
        <v>0</v>
      </c>
    </row>
    <row r="16" spans="1:26" ht="15.95" customHeight="1">
      <c r="A16" s="139" t="s">
        <v>123</v>
      </c>
      <c r="B16" s="146"/>
      <c r="C16" s="137"/>
      <c r="D16" s="146"/>
      <c r="E16" s="137"/>
      <c r="F16" s="146"/>
      <c r="G16" s="137"/>
      <c r="H16" s="146"/>
      <c r="I16" s="137"/>
      <c r="J16" s="146"/>
      <c r="K16" s="137"/>
      <c r="L16" s="137"/>
      <c r="M16" s="137"/>
      <c r="N16" s="146"/>
      <c r="O16" s="137"/>
      <c r="P16" s="137"/>
      <c r="Q16" s="137"/>
      <c r="R16" s="339">
        <v>0</v>
      </c>
      <c r="S16" s="79"/>
      <c r="T16" s="79">
        <f t="shared" si="0"/>
        <v>0</v>
      </c>
      <c r="U16" s="79"/>
      <c r="V16" s="79"/>
      <c r="W16" s="79"/>
      <c r="X16" s="79">
        <f t="shared" si="1"/>
        <v>0</v>
      </c>
    </row>
    <row r="17" spans="1:28" s="91" customFormat="1" ht="15.95" customHeight="1" thickBot="1">
      <c r="A17" s="138" t="s">
        <v>478</v>
      </c>
      <c r="B17" s="273">
        <f>SUM(B7:B16)</f>
        <v>12586073308</v>
      </c>
      <c r="C17" s="136"/>
      <c r="D17" s="273">
        <f t="shared" ref="D17:P17" si="2">SUM(D7:D16)</f>
        <v>893520568.76999998</v>
      </c>
      <c r="E17" s="136"/>
      <c r="F17" s="273">
        <f t="shared" si="2"/>
        <v>300000000</v>
      </c>
      <c r="G17" s="136"/>
      <c r="H17" s="273">
        <f t="shared" si="2"/>
        <v>100000000</v>
      </c>
      <c r="I17" s="136"/>
      <c r="J17" s="273">
        <f>SUM(J7:J16)</f>
        <v>940012441.67999995</v>
      </c>
      <c r="K17" s="136"/>
      <c r="L17" s="273">
        <v>0</v>
      </c>
      <c r="M17" s="136"/>
      <c r="N17" s="273">
        <f t="shared" si="2"/>
        <v>-117726444</v>
      </c>
      <c r="O17" s="136"/>
      <c r="P17" s="273">
        <f t="shared" si="2"/>
        <v>0</v>
      </c>
      <c r="Q17" s="136"/>
      <c r="R17" s="273">
        <f>SUM(R7:R16)</f>
        <v>5019092406.3730001</v>
      </c>
      <c r="S17" s="136"/>
      <c r="T17" s="273">
        <f>SUM(T7:T16)</f>
        <v>19720972280.822998</v>
      </c>
      <c r="U17" s="90"/>
      <c r="V17" s="273">
        <f>SUM(V7:V16)</f>
        <v>0</v>
      </c>
      <c r="W17" s="136"/>
      <c r="X17" s="273">
        <f>SUM(X7:X16)</f>
        <v>19720972280.822998</v>
      </c>
      <c r="Y17" s="134"/>
      <c r="Z17" s="275"/>
      <c r="AB17" s="135">
        <f>X17-AA17</f>
        <v>19720972280.822998</v>
      </c>
    </row>
    <row r="18" spans="1:28" s="91" customFormat="1" ht="15.95" customHeight="1">
      <c r="A18" s="138"/>
      <c r="B18" s="1180">
        <v>12586073308</v>
      </c>
      <c r="C18" s="1180"/>
      <c r="D18" s="1180">
        <v>893520568.76999998</v>
      </c>
      <c r="E18" s="1180"/>
      <c r="F18" s="1180">
        <v>300000000</v>
      </c>
      <c r="G18" s="1180"/>
      <c r="H18" s="1180">
        <v>100000000</v>
      </c>
      <c r="I18" s="1180"/>
      <c r="J18" s="1180">
        <v>940012441.67999995</v>
      </c>
      <c r="K18" s="1180"/>
      <c r="L18" s="1180"/>
      <c r="M18" s="1180"/>
      <c r="N18" s="1180">
        <v>-108159351</v>
      </c>
      <c r="O18" s="1180"/>
      <c r="P18" s="1180"/>
      <c r="Q18" s="1180"/>
      <c r="R18" s="1180">
        <v>4230819374</v>
      </c>
      <c r="S18" s="1180"/>
      <c r="T18" s="1180">
        <v>18942266341</v>
      </c>
      <c r="U18" s="1180"/>
      <c r="V18" s="1180"/>
      <c r="W18" s="1180"/>
      <c r="X18" s="1180">
        <v>18942266341</v>
      </c>
      <c r="Y18" s="134"/>
      <c r="Z18" s="275"/>
      <c r="AB18" s="135"/>
    </row>
    <row r="19" spans="1:28" s="91" customFormat="1" ht="15.95" customHeight="1">
      <c r="A19" s="138"/>
      <c r="B19" s="1180">
        <f>B17-B18</f>
        <v>0</v>
      </c>
      <c r="C19" s="1180"/>
      <c r="D19" s="1180">
        <f>D17-D18</f>
        <v>0</v>
      </c>
      <c r="E19" s="1180"/>
      <c r="F19" s="1180">
        <f>F17-F18</f>
        <v>0</v>
      </c>
      <c r="G19" s="1180"/>
      <c r="H19" s="1180">
        <f>H17-H18</f>
        <v>0</v>
      </c>
      <c r="I19" s="1180"/>
      <c r="J19" s="1180">
        <f>J17-J18</f>
        <v>0</v>
      </c>
      <c r="K19" s="1180"/>
      <c r="L19" s="1180">
        <f>L17-L18</f>
        <v>0</v>
      </c>
      <c r="M19" s="1180"/>
      <c r="N19" s="1180">
        <f>N17-N18</f>
        <v>-9567093</v>
      </c>
      <c r="O19" s="1180"/>
      <c r="P19" s="1180">
        <f>P17-P18</f>
        <v>0</v>
      </c>
      <c r="Q19" s="1180"/>
      <c r="R19" s="1180">
        <f>R17-R18</f>
        <v>788273032.37300014</v>
      </c>
      <c r="S19" s="1180"/>
      <c r="T19" s="1180">
        <f>T17-T18</f>
        <v>778705939.82299805</v>
      </c>
      <c r="U19" s="1180"/>
      <c r="V19" s="1180">
        <f>V17-V18</f>
        <v>0</v>
      </c>
      <c r="W19" s="1180"/>
      <c r="X19" s="1180">
        <f>X17-X18</f>
        <v>778705939.82299805</v>
      </c>
      <c r="Y19" s="134"/>
      <c r="Z19" s="275"/>
      <c r="AB19" s="135"/>
    </row>
    <row r="20" spans="1:28" s="91" customFormat="1" ht="15.95" customHeight="1">
      <c r="A20" s="138" t="s">
        <v>500</v>
      </c>
      <c r="B20" s="136">
        <f>B17</f>
        <v>12586073308</v>
      </c>
      <c r="C20" s="136"/>
      <c r="D20" s="136">
        <f>D17</f>
        <v>893520568.76999998</v>
      </c>
      <c r="E20" s="136"/>
      <c r="F20" s="136">
        <f>F17</f>
        <v>300000000</v>
      </c>
      <c r="G20" s="136"/>
      <c r="H20" s="136">
        <f>H17</f>
        <v>100000000</v>
      </c>
      <c r="I20" s="136"/>
      <c r="J20" s="136">
        <f>J17</f>
        <v>940012441.67999995</v>
      </c>
      <c r="K20" s="136"/>
      <c r="L20" s="136">
        <f>L17</f>
        <v>0</v>
      </c>
      <c r="M20" s="136"/>
      <c r="N20" s="136">
        <f>N17</f>
        <v>-117726444</v>
      </c>
      <c r="O20" s="136"/>
      <c r="P20" s="136">
        <f>P17</f>
        <v>0</v>
      </c>
      <c r="Q20" s="136"/>
      <c r="R20" s="136">
        <f>R17</f>
        <v>5019092406.3730001</v>
      </c>
      <c r="S20" s="136"/>
      <c r="T20" s="136">
        <f>T17</f>
        <v>19720972280.822998</v>
      </c>
      <c r="U20" s="136"/>
      <c r="V20" s="136">
        <f>V17</f>
        <v>0</v>
      </c>
      <c r="W20" s="136"/>
      <c r="X20" s="136">
        <f>X17</f>
        <v>19720972280.822998</v>
      </c>
      <c r="Y20" s="134"/>
      <c r="Z20" s="275"/>
      <c r="AB20" s="135"/>
    </row>
    <row r="21" spans="1:28" s="91" customFormat="1" ht="15.95" customHeight="1">
      <c r="A21" s="138" t="s">
        <v>499</v>
      </c>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4"/>
      <c r="Z21" s="275"/>
      <c r="AB21" s="135"/>
    </row>
    <row r="22" spans="1:28" s="91" customFormat="1" ht="15.95" customHeight="1">
      <c r="A22" s="139" t="s">
        <v>433</v>
      </c>
      <c r="B22" s="137"/>
      <c r="C22" s="137"/>
      <c r="D22" s="137"/>
      <c r="E22" s="137"/>
      <c r="F22" s="137"/>
      <c r="G22" s="137"/>
      <c r="H22" s="137"/>
      <c r="I22" s="137"/>
      <c r="J22" s="137"/>
      <c r="K22" s="137"/>
      <c r="L22" s="137"/>
      <c r="M22" s="137"/>
      <c r="N22" s="137"/>
      <c r="O22" s="137"/>
      <c r="P22" s="137"/>
      <c r="Q22" s="137"/>
      <c r="R22" s="137">
        <f>3463216517-R9</f>
        <v>1996204473.177</v>
      </c>
      <c r="S22" s="136"/>
      <c r="T22" s="79">
        <f t="shared" ref="T22:T23" si="3">SUM(B22:R22)</f>
        <v>1996204473.177</v>
      </c>
      <c r="U22" s="136"/>
      <c r="V22" s="136"/>
      <c r="W22" s="136"/>
      <c r="X22" s="137">
        <f>T22+V22</f>
        <v>1996204473.177</v>
      </c>
      <c r="Y22" s="134"/>
      <c r="Z22" s="275"/>
      <c r="AB22" s="135"/>
    </row>
    <row r="23" spans="1:28" s="91" customFormat="1" ht="15.95" customHeight="1">
      <c r="A23" s="139" t="s">
        <v>120</v>
      </c>
      <c r="B23" s="137"/>
      <c r="C23" s="137"/>
      <c r="D23" s="137"/>
      <c r="E23" s="137"/>
      <c r="F23" s="137"/>
      <c r="G23" s="137"/>
      <c r="H23" s="137"/>
      <c r="I23" s="137"/>
      <c r="J23" s="137"/>
      <c r="K23" s="137"/>
      <c r="L23" s="137"/>
      <c r="M23" s="137"/>
      <c r="N23" s="137">
        <f>67188300-N10</f>
        <v>65604238</v>
      </c>
      <c r="O23" s="137"/>
      <c r="P23" s="137">
        <f>652503-P10</f>
        <v>652503</v>
      </c>
      <c r="Q23" s="137"/>
      <c r="R23" s="137">
        <f>-40795578-R10</f>
        <v>-40795578</v>
      </c>
      <c r="S23" s="136"/>
      <c r="T23" s="79">
        <f t="shared" si="3"/>
        <v>25461163</v>
      </c>
      <c r="U23" s="136"/>
      <c r="V23" s="136"/>
      <c r="W23" s="136"/>
      <c r="X23" s="137">
        <f>T23+V23</f>
        <v>25461163</v>
      </c>
      <c r="Y23" s="134"/>
      <c r="Z23" s="275"/>
      <c r="AB23" s="135"/>
    </row>
    <row r="24" spans="1:28" s="91" customFormat="1" ht="15.95" customHeight="1">
      <c r="A24" s="139"/>
      <c r="B24" s="137"/>
      <c r="C24" s="137"/>
      <c r="D24" s="137"/>
      <c r="E24" s="137"/>
      <c r="F24" s="137"/>
      <c r="G24" s="137"/>
      <c r="H24" s="137"/>
      <c r="I24" s="137"/>
      <c r="J24" s="137"/>
      <c r="K24" s="137"/>
      <c r="L24" s="137"/>
      <c r="M24" s="137"/>
      <c r="N24" s="137"/>
      <c r="O24" s="137"/>
      <c r="P24" s="137"/>
      <c r="Q24" s="137"/>
      <c r="R24" s="137"/>
      <c r="S24" s="136"/>
      <c r="T24" s="136"/>
      <c r="U24" s="136"/>
      <c r="V24" s="136"/>
      <c r="W24" s="136"/>
      <c r="X24" s="136"/>
      <c r="Y24" s="134"/>
      <c r="Z24" s="275"/>
      <c r="AB24" s="135"/>
    </row>
    <row r="25" spans="1:28" s="91" customFormat="1" ht="15.95" customHeight="1">
      <c r="A25" s="143" t="s">
        <v>121</v>
      </c>
      <c r="B25" s="137"/>
      <c r="C25" s="137"/>
      <c r="D25" s="137"/>
      <c r="E25" s="137"/>
      <c r="F25" s="137"/>
      <c r="G25" s="137"/>
      <c r="H25" s="137"/>
      <c r="I25" s="137"/>
      <c r="J25" s="137"/>
      <c r="K25" s="137"/>
      <c r="L25" s="137"/>
      <c r="M25" s="137"/>
      <c r="N25" s="137"/>
      <c r="O25" s="137"/>
      <c r="P25" s="137"/>
      <c r="Q25" s="137"/>
      <c r="R25" s="137"/>
      <c r="S25" s="136"/>
      <c r="T25" s="136"/>
      <c r="U25" s="136"/>
      <c r="V25" s="136"/>
      <c r="W25" s="136"/>
      <c r="X25" s="136"/>
      <c r="Y25" s="134"/>
      <c r="Z25" s="275"/>
      <c r="AB25" s="135"/>
    </row>
    <row r="26" spans="1:28" s="91" customFormat="1" ht="15.95" customHeight="1">
      <c r="A26" s="139" t="s">
        <v>143</v>
      </c>
      <c r="B26" s="137">
        <f>200000000-B13</f>
        <v>150000000</v>
      </c>
      <c r="C26" s="137"/>
      <c r="D26" s="137"/>
      <c r="E26" s="137"/>
      <c r="F26" s="137"/>
      <c r="G26" s="137"/>
      <c r="H26" s="137"/>
      <c r="I26" s="137"/>
      <c r="J26" s="137"/>
      <c r="K26" s="137"/>
      <c r="L26" s="137"/>
      <c r="M26" s="137"/>
      <c r="N26" s="137"/>
      <c r="O26" s="137"/>
      <c r="P26" s="137"/>
      <c r="Q26" s="137"/>
      <c r="R26" s="79">
        <f>-B26</f>
        <v>-150000000</v>
      </c>
      <c r="S26" s="136"/>
      <c r="T26" s="79">
        <f t="shared" ref="T26:T29" si="4">SUM(B26:R26)</f>
        <v>0</v>
      </c>
      <c r="U26" s="136"/>
      <c r="V26" s="136"/>
      <c r="W26" s="136"/>
      <c r="X26" s="137">
        <f t="shared" ref="X26:X29" si="5">T26+V26</f>
        <v>0</v>
      </c>
      <c r="Y26" s="134"/>
      <c r="Z26" s="275"/>
      <c r="AB26" s="135"/>
    </row>
    <row r="27" spans="1:28" s="91" customFormat="1" ht="15.95" customHeight="1">
      <c r="A27" s="139" t="s">
        <v>453</v>
      </c>
      <c r="B27" s="137"/>
      <c r="C27" s="137"/>
      <c r="D27" s="137"/>
      <c r="E27" s="137"/>
      <c r="F27" s="137"/>
      <c r="G27" s="137"/>
      <c r="H27" s="137"/>
      <c r="I27" s="137"/>
      <c r="J27" s="137"/>
      <c r="K27" s="137"/>
      <c r="L27" s="137"/>
      <c r="M27" s="137"/>
      <c r="N27" s="137"/>
      <c r="O27" s="137"/>
      <c r="P27" s="137"/>
      <c r="Q27" s="137"/>
      <c r="R27" s="79"/>
      <c r="S27" s="136"/>
      <c r="T27" s="79"/>
      <c r="U27" s="136"/>
      <c r="V27" s="136"/>
      <c r="W27" s="136"/>
      <c r="X27" s="137"/>
      <c r="Y27" s="134"/>
      <c r="Z27" s="275"/>
      <c r="AB27" s="135"/>
    </row>
    <row r="28" spans="1:28" s="91" customFormat="1" ht="15.95" customHeight="1">
      <c r="A28" s="139" t="s">
        <v>122</v>
      </c>
      <c r="B28" s="137"/>
      <c r="C28" s="137"/>
      <c r="D28" s="137">
        <f>156187170-D15</f>
        <v>122946877.23000002</v>
      </c>
      <c r="E28" s="137"/>
      <c r="F28" s="137"/>
      <c r="G28" s="137"/>
      <c r="H28" s="137"/>
      <c r="I28" s="137"/>
      <c r="J28" s="137">
        <f>245166831-J15</f>
        <v>156901087.32000005</v>
      </c>
      <c r="K28" s="137"/>
      <c r="L28" s="137"/>
      <c r="M28" s="137"/>
      <c r="N28" s="137"/>
      <c r="O28" s="137"/>
      <c r="P28" s="137"/>
      <c r="Q28" s="137"/>
      <c r="R28" s="79">
        <f>-D28-J28</f>
        <v>-279847964.55000007</v>
      </c>
      <c r="S28" s="136"/>
      <c r="T28" s="79">
        <f t="shared" si="4"/>
        <v>0</v>
      </c>
      <c r="U28" s="136"/>
      <c r="V28" s="136"/>
      <c r="W28" s="136"/>
      <c r="X28" s="137">
        <f t="shared" si="5"/>
        <v>0</v>
      </c>
      <c r="Y28" s="134"/>
      <c r="Z28" s="275"/>
      <c r="AB28" s="135"/>
    </row>
    <row r="29" spans="1:28" s="91" customFormat="1" ht="15.95" customHeight="1">
      <c r="A29" s="139" t="s">
        <v>123</v>
      </c>
      <c r="B29" s="137"/>
      <c r="C29" s="137"/>
      <c r="D29" s="137"/>
      <c r="E29" s="137"/>
      <c r="F29" s="137"/>
      <c r="G29" s="137"/>
      <c r="H29" s="137"/>
      <c r="I29" s="137"/>
      <c r="J29" s="137"/>
      <c r="K29" s="137"/>
      <c r="L29" s="137"/>
      <c r="M29" s="137"/>
      <c r="N29" s="137"/>
      <c r="O29" s="137"/>
      <c r="P29" s="137"/>
      <c r="Q29" s="137"/>
      <c r="R29" s="137">
        <f>-1974828102.5-R16</f>
        <v>-1974828102.5</v>
      </c>
      <c r="S29" s="136"/>
      <c r="T29" s="79">
        <f t="shared" si="4"/>
        <v>-1974828102.5</v>
      </c>
      <c r="U29" s="136"/>
      <c r="V29" s="136"/>
      <c r="W29" s="136"/>
      <c r="X29" s="137">
        <f t="shared" si="5"/>
        <v>-1974828102.5</v>
      </c>
      <c r="Y29" s="134"/>
      <c r="Z29" s="275"/>
      <c r="AB29" s="135"/>
    </row>
    <row r="30" spans="1:28" s="91" customFormat="1" ht="15.95" customHeight="1" thickBot="1">
      <c r="A30" s="138" t="s">
        <v>432</v>
      </c>
      <c r="B30" s="273">
        <f>SUM(B20:B29)</f>
        <v>12736073308</v>
      </c>
      <c r="C30" s="136"/>
      <c r="D30" s="273">
        <f>SUM(D20:D29)</f>
        <v>1016467446</v>
      </c>
      <c r="E30" s="136"/>
      <c r="F30" s="273">
        <f>SUM(F20:F29)</f>
        <v>300000000</v>
      </c>
      <c r="G30" s="136"/>
      <c r="H30" s="273">
        <f>SUM(H20:H29)</f>
        <v>100000000</v>
      </c>
      <c r="I30" s="136"/>
      <c r="J30" s="273">
        <f>SUM(J20:J29)</f>
        <v>1096913529</v>
      </c>
      <c r="K30" s="136"/>
      <c r="L30" s="273">
        <f>SUM(L20:L29)</f>
        <v>0</v>
      </c>
      <c r="M30" s="136"/>
      <c r="N30" s="273">
        <f>SUM(N20:N29)</f>
        <v>-52122206</v>
      </c>
      <c r="O30" s="136"/>
      <c r="P30" s="273">
        <f>SUM(P20:P29)</f>
        <v>652503</v>
      </c>
      <c r="Q30" s="136"/>
      <c r="R30" s="273">
        <f>SUM(R20:R29)</f>
        <v>4569825234.5</v>
      </c>
      <c r="S30" s="136"/>
      <c r="T30" s="273">
        <f>SUM(T20:T29)</f>
        <v>19767809814.5</v>
      </c>
      <c r="U30" s="136"/>
      <c r="V30" s="273">
        <f>SUM(V20:V29)</f>
        <v>0</v>
      </c>
      <c r="W30" s="136"/>
      <c r="X30" s="273">
        <f>SUM(X20:X29)</f>
        <v>19767809814.5</v>
      </c>
      <c r="Y30" s="134"/>
      <c r="Z30" s="275"/>
      <c r="AB30" s="135"/>
    </row>
    <row r="31" spans="1:28" s="91" customFormat="1" ht="15.95" customHeight="1">
      <c r="A31" s="138"/>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4"/>
      <c r="Z31" s="275"/>
      <c r="AB31" s="135"/>
    </row>
    <row r="32" spans="1:28" s="91" customFormat="1" ht="15.95" customHeight="1">
      <c r="A32" s="138"/>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4"/>
      <c r="Z32" s="275"/>
      <c r="AB32" s="135"/>
    </row>
    <row r="33" spans="1:28">
      <c r="A33" s="138" t="s">
        <v>498</v>
      </c>
      <c r="B33" s="128">
        <v>12736073308</v>
      </c>
      <c r="C33" s="128">
        <v>0</v>
      </c>
      <c r="D33" s="128">
        <v>1016467446</v>
      </c>
      <c r="E33" s="128">
        <v>0</v>
      </c>
      <c r="F33" s="128">
        <v>300000000</v>
      </c>
      <c r="G33" s="128">
        <v>0</v>
      </c>
      <c r="H33" s="128">
        <v>100000000</v>
      </c>
      <c r="I33" s="128">
        <v>0</v>
      </c>
      <c r="J33" s="128">
        <v>1096913529</v>
      </c>
      <c r="K33" s="128">
        <v>0</v>
      </c>
      <c r="M33" s="128">
        <v>0</v>
      </c>
      <c r="N33" s="128">
        <v>-52122206</v>
      </c>
      <c r="O33" s="128">
        <v>0</v>
      </c>
      <c r="P33" s="128">
        <v>652503</v>
      </c>
      <c r="Q33" s="128">
        <v>0</v>
      </c>
      <c r="R33" s="128">
        <v>4569825234.5</v>
      </c>
      <c r="S33" s="128"/>
      <c r="T33" s="128">
        <f>SUM(B33:R33)</f>
        <v>19767809814.5</v>
      </c>
      <c r="U33" s="128"/>
      <c r="V33" s="128">
        <v>0</v>
      </c>
      <c r="X33" s="128">
        <f>T33+V33</f>
        <v>19767809814.5</v>
      </c>
    </row>
    <row r="35" spans="1:28" ht="15.95" customHeight="1">
      <c r="A35" s="138" t="s">
        <v>476</v>
      </c>
      <c r="B35" s="142"/>
      <c r="C35" s="142"/>
      <c r="D35" s="137"/>
      <c r="E35" s="137"/>
      <c r="F35" s="137"/>
      <c r="G35" s="137"/>
      <c r="H35" s="137"/>
      <c r="I35" s="137"/>
      <c r="J35" s="137"/>
      <c r="K35" s="137"/>
      <c r="L35" s="137"/>
      <c r="M35" s="137"/>
      <c r="N35" s="137"/>
      <c r="O35" s="137"/>
      <c r="P35" s="137"/>
      <c r="Q35" s="137"/>
      <c r="R35" s="79"/>
      <c r="S35" s="79"/>
      <c r="T35" s="79"/>
      <c r="U35" s="79"/>
      <c r="V35" s="79"/>
      <c r="W35" s="79"/>
      <c r="X35" s="79"/>
    </row>
    <row r="36" spans="1:28" ht="15.95" customHeight="1">
      <c r="A36" s="139" t="s">
        <v>477</v>
      </c>
      <c r="B36" s="137"/>
      <c r="C36" s="137"/>
      <c r="D36" s="137"/>
      <c r="E36" s="137"/>
      <c r="F36" s="137"/>
      <c r="G36" s="137"/>
      <c r="H36" s="137"/>
      <c r="I36" s="137"/>
      <c r="J36" s="137"/>
      <c r="K36" s="137"/>
      <c r="L36" s="137"/>
      <c r="M36" s="137"/>
      <c r="N36" s="137"/>
      <c r="O36" s="137"/>
      <c r="P36" s="137"/>
      <c r="Q36" s="137"/>
      <c r="R36" s="338">
        <f>'Compreh. Income (C &amp; G)'!H8</f>
        <v>1873565599.7700005</v>
      </c>
      <c r="S36" s="338"/>
      <c r="T36" s="338">
        <f>SUM(B36:R36)</f>
        <v>1873565599.7700005</v>
      </c>
      <c r="U36" s="338"/>
      <c r="V36" s="338"/>
      <c r="W36" s="79"/>
      <c r="X36" s="79">
        <f t="shared" ref="X36:X43" si="6">T36+V36</f>
        <v>1873565599.7700005</v>
      </c>
    </row>
    <row r="37" spans="1:28" ht="15.95" customHeight="1">
      <c r="A37" s="139" t="s">
        <v>120</v>
      </c>
      <c r="B37" s="137"/>
      <c r="C37" s="137"/>
      <c r="D37" s="137"/>
      <c r="E37" s="137"/>
      <c r="F37" s="137"/>
      <c r="G37" s="137"/>
      <c r="H37" s="137"/>
      <c r="I37" s="137"/>
      <c r="J37" s="137"/>
      <c r="K37" s="137"/>
      <c r="L37" s="137"/>
      <c r="M37" s="137"/>
      <c r="N37" s="338">
        <f>'Compreh. Income (C &amp; G)'!H13</f>
        <v>159322441</v>
      </c>
      <c r="O37" s="338"/>
      <c r="P37" s="338">
        <f>'Compreh. Income (C &amp; G)'!H12</f>
        <v>-58957007</v>
      </c>
      <c r="Q37" s="137"/>
      <c r="R37" s="79">
        <f>'Compreh. Income (G)'!B11-'Compreh. Income (G)'!B14</f>
        <v>0</v>
      </c>
      <c r="S37" s="79"/>
      <c r="T37" s="79">
        <f t="shared" ref="T37:T43" si="7">SUM(B37:R37)</f>
        <v>100365434</v>
      </c>
      <c r="U37" s="79"/>
      <c r="V37" s="79"/>
      <c r="W37" s="79"/>
      <c r="X37" s="79">
        <f t="shared" si="6"/>
        <v>100365434</v>
      </c>
    </row>
    <row r="38" spans="1:28" ht="15.95" customHeight="1">
      <c r="A38" s="139"/>
      <c r="B38" s="137"/>
      <c r="C38" s="137"/>
      <c r="D38" s="137"/>
      <c r="E38" s="137"/>
      <c r="F38" s="137"/>
      <c r="G38" s="137"/>
      <c r="H38" s="137"/>
      <c r="I38" s="137"/>
      <c r="J38" s="137"/>
      <c r="K38" s="137"/>
      <c r="L38" s="137"/>
      <c r="M38" s="137"/>
      <c r="N38" s="137"/>
      <c r="O38" s="137"/>
      <c r="P38" s="137"/>
      <c r="Q38" s="137"/>
      <c r="R38" s="79"/>
      <c r="S38" s="79"/>
      <c r="T38" s="79">
        <f t="shared" si="7"/>
        <v>0</v>
      </c>
      <c r="U38" s="79"/>
      <c r="V38" s="79"/>
      <c r="W38" s="79"/>
      <c r="X38" s="79">
        <f t="shared" si="6"/>
        <v>0</v>
      </c>
    </row>
    <row r="39" spans="1:28" ht="15.95" customHeight="1">
      <c r="A39" s="143" t="s">
        <v>121</v>
      </c>
      <c r="B39" s="137"/>
      <c r="C39" s="137"/>
      <c r="D39" s="137"/>
      <c r="E39" s="137"/>
      <c r="F39" s="137"/>
      <c r="G39" s="137"/>
      <c r="H39" s="137"/>
      <c r="I39" s="137"/>
      <c r="J39" s="137"/>
      <c r="K39" s="137"/>
      <c r="L39" s="137"/>
      <c r="M39" s="137"/>
      <c r="N39" s="137"/>
      <c r="O39" s="137"/>
      <c r="P39" s="137"/>
      <c r="Q39" s="137"/>
      <c r="R39" s="79"/>
      <c r="S39" s="79"/>
      <c r="T39" s="79">
        <f t="shared" si="7"/>
        <v>0</v>
      </c>
      <c r="U39" s="79"/>
      <c r="V39" s="79"/>
      <c r="W39" s="79"/>
      <c r="X39" s="79">
        <f t="shared" si="6"/>
        <v>0</v>
      </c>
    </row>
    <row r="40" spans="1:28" ht="15.95" customHeight="1">
      <c r="A40" s="139" t="s">
        <v>143</v>
      </c>
      <c r="B40" s="338">
        <f>50000000</f>
        <v>50000000</v>
      </c>
      <c r="C40" s="137"/>
      <c r="D40" s="137"/>
      <c r="E40" s="137"/>
      <c r="F40" s="137"/>
      <c r="G40" s="137"/>
      <c r="H40" s="137"/>
      <c r="I40" s="137"/>
      <c r="J40" s="137"/>
      <c r="K40" s="137"/>
      <c r="L40" s="137"/>
      <c r="M40" s="137"/>
      <c r="N40" s="137"/>
      <c r="O40" s="137"/>
      <c r="P40" s="137"/>
      <c r="Q40" s="137"/>
      <c r="R40" s="338">
        <f>-B40</f>
        <v>-50000000</v>
      </c>
      <c r="S40" s="338"/>
      <c r="T40" s="79">
        <f t="shared" si="7"/>
        <v>0</v>
      </c>
      <c r="U40" s="338"/>
      <c r="V40" s="338"/>
      <c r="W40" s="79"/>
      <c r="X40" s="79">
        <f t="shared" si="6"/>
        <v>0</v>
      </c>
    </row>
    <row r="41" spans="1:28" ht="15.95" customHeight="1">
      <c r="A41" s="139" t="s">
        <v>122</v>
      </c>
      <c r="B41" s="137"/>
      <c r="C41" s="137"/>
      <c r="D41" s="338">
        <v>33792232</v>
      </c>
      <c r="E41" s="137"/>
      <c r="F41" s="137"/>
      <c r="G41" s="137"/>
      <c r="H41" s="137"/>
      <c r="I41" s="137"/>
      <c r="J41" s="338">
        <v>28006584</v>
      </c>
      <c r="K41" s="137"/>
      <c r="L41" s="137"/>
      <c r="M41" s="137"/>
      <c r="N41" s="137"/>
      <c r="O41" s="137"/>
      <c r="P41" s="137"/>
      <c r="Q41" s="137"/>
      <c r="R41" s="79">
        <f>-D41-J41</f>
        <v>-61798816</v>
      </c>
      <c r="S41" s="79"/>
      <c r="T41" s="79">
        <f t="shared" si="7"/>
        <v>0</v>
      </c>
      <c r="U41" s="79"/>
      <c r="V41" s="79"/>
      <c r="W41" s="79"/>
      <c r="X41" s="79">
        <f t="shared" si="6"/>
        <v>0</v>
      </c>
    </row>
    <row r="42" spans="1:28" ht="15.95" customHeight="1">
      <c r="A42" s="139" t="s">
        <v>424</v>
      </c>
      <c r="B42" s="137"/>
      <c r="C42" s="137"/>
      <c r="D42" s="338"/>
      <c r="E42" s="137"/>
      <c r="F42" s="137"/>
      <c r="G42" s="137"/>
      <c r="H42" s="137"/>
      <c r="I42" s="137"/>
      <c r="J42" s="338"/>
      <c r="K42" s="137"/>
      <c r="L42" s="137"/>
      <c r="M42" s="137"/>
      <c r="N42" s="137"/>
      <c r="O42" s="137"/>
      <c r="P42" s="137"/>
      <c r="Q42" s="137"/>
      <c r="R42" s="79"/>
      <c r="S42" s="79"/>
      <c r="T42" s="79">
        <f t="shared" si="7"/>
        <v>0</v>
      </c>
      <c r="U42" s="79"/>
      <c r="V42" s="79"/>
      <c r="W42" s="79"/>
      <c r="X42" s="79">
        <f t="shared" si="6"/>
        <v>0</v>
      </c>
    </row>
    <row r="43" spans="1:28" ht="15.95" customHeight="1">
      <c r="A43" s="139" t="s">
        <v>123</v>
      </c>
      <c r="B43" s="146"/>
      <c r="C43" s="137"/>
      <c r="D43" s="146"/>
      <c r="E43" s="137"/>
      <c r="F43" s="146"/>
      <c r="G43" s="137"/>
      <c r="H43" s="146"/>
      <c r="I43" s="137"/>
      <c r="J43" s="146"/>
      <c r="K43" s="137"/>
      <c r="L43" s="137"/>
      <c r="M43" s="137"/>
      <c r="N43" s="146"/>
      <c r="O43" s="137"/>
      <c r="P43" s="137"/>
      <c r="Q43" s="137"/>
      <c r="R43" s="147">
        <v>-789931241</v>
      </c>
      <c r="S43" s="79"/>
      <c r="T43" s="79">
        <f t="shared" si="7"/>
        <v>-789931241</v>
      </c>
      <c r="U43" s="79"/>
      <c r="V43" s="79"/>
      <c r="W43" s="79"/>
      <c r="X43" s="79">
        <f t="shared" si="6"/>
        <v>-789931241</v>
      </c>
    </row>
    <row r="44" spans="1:28" s="91" customFormat="1" ht="15.95" customHeight="1" thickBot="1">
      <c r="A44" s="138" t="s">
        <v>482</v>
      </c>
      <c r="B44" s="148">
        <f>SUM(B33:B43)</f>
        <v>12786073308</v>
      </c>
      <c r="C44" s="148">
        <f t="shared" ref="C44:X44" si="8">SUM(C33:C43)</f>
        <v>0</v>
      </c>
      <c r="D44" s="148">
        <f>SUM(D33:D43)</f>
        <v>1050259678</v>
      </c>
      <c r="E44" s="148">
        <f t="shared" si="8"/>
        <v>0</v>
      </c>
      <c r="F44" s="148">
        <f t="shared" si="8"/>
        <v>300000000</v>
      </c>
      <c r="G44" s="148">
        <f t="shared" si="8"/>
        <v>0</v>
      </c>
      <c r="H44" s="148">
        <f t="shared" si="8"/>
        <v>100000000</v>
      </c>
      <c r="I44" s="148">
        <f t="shared" si="8"/>
        <v>0</v>
      </c>
      <c r="J44" s="148">
        <f t="shared" si="8"/>
        <v>1124920113</v>
      </c>
      <c r="K44" s="148">
        <f t="shared" si="8"/>
        <v>0</v>
      </c>
      <c r="L44" s="148">
        <f t="shared" si="8"/>
        <v>0</v>
      </c>
      <c r="M44" s="148">
        <f t="shared" si="8"/>
        <v>0</v>
      </c>
      <c r="N44" s="148">
        <f t="shared" si="8"/>
        <v>107200235</v>
      </c>
      <c r="O44" s="148">
        <f t="shared" ref="O44" si="9">SUM(O33:O43)</f>
        <v>0</v>
      </c>
      <c r="P44" s="148">
        <f t="shared" ref="P44" si="10">SUM(P33:P43)</f>
        <v>-58304504</v>
      </c>
      <c r="Q44" s="148">
        <f t="shared" si="8"/>
        <v>0</v>
      </c>
      <c r="R44" s="148">
        <f t="shared" si="8"/>
        <v>5541660777.2700005</v>
      </c>
      <c r="S44" s="148"/>
      <c r="T44" s="148">
        <f t="shared" si="8"/>
        <v>20951809607.27</v>
      </c>
      <c r="U44" s="148"/>
      <c r="V44" s="148">
        <f t="shared" si="8"/>
        <v>0</v>
      </c>
      <c r="W44" s="148">
        <f t="shared" si="8"/>
        <v>0</v>
      </c>
      <c r="X44" s="148">
        <f t="shared" si="8"/>
        <v>20951809607.27</v>
      </c>
      <c r="Y44" s="134"/>
      <c r="Z44" s="275"/>
      <c r="AB44" s="135">
        <f>X44-AA44</f>
        <v>20951809607.27</v>
      </c>
    </row>
    <row r="45" spans="1:28" ht="16.5" thickTop="1">
      <c r="C45" s="137"/>
    </row>
    <row r="46" spans="1:28">
      <c r="A46" s="1" t="s">
        <v>146</v>
      </c>
      <c r="B46" s="115"/>
      <c r="C46" s="137"/>
    </row>
    <row r="47" spans="1:28">
      <c r="A47" s="115" t="s">
        <v>177</v>
      </c>
      <c r="B47" s="115"/>
      <c r="C47" s="137"/>
    </row>
    <row r="50" spans="1:26">
      <c r="A50" s="76" t="s">
        <v>432</v>
      </c>
      <c r="B50" s="128">
        <v>12736073308</v>
      </c>
      <c r="C50" s="128">
        <v>0</v>
      </c>
      <c r="D50" s="128">
        <v>1016467446</v>
      </c>
      <c r="E50" s="128">
        <v>0</v>
      </c>
      <c r="F50" s="128">
        <v>300000000</v>
      </c>
      <c r="G50" s="128">
        <v>0</v>
      </c>
      <c r="H50" s="128">
        <v>100000000</v>
      </c>
      <c r="I50" s="128">
        <v>0</v>
      </c>
      <c r="J50" s="128">
        <v>1096913529</v>
      </c>
      <c r="K50" s="128">
        <v>0</v>
      </c>
      <c r="N50" s="128">
        <v>-52122206</v>
      </c>
      <c r="P50" s="128">
        <v>652503</v>
      </c>
      <c r="Q50" s="128">
        <v>0</v>
      </c>
      <c r="R50" s="74">
        <v>4569825235</v>
      </c>
      <c r="W50" s="74">
        <v>0</v>
      </c>
      <c r="X50" s="74">
        <v>19767809815</v>
      </c>
    </row>
    <row r="52" spans="1:26" s="340" customFormat="1">
      <c r="A52" s="340" t="s">
        <v>411</v>
      </c>
      <c r="B52" s="341">
        <f>B30-B50</f>
        <v>0</v>
      </c>
      <c r="C52" s="341"/>
      <c r="D52" s="341">
        <f>D30-D50</f>
        <v>0</v>
      </c>
      <c r="E52" s="341"/>
      <c r="F52" s="341">
        <f>F30-F50</f>
        <v>0</v>
      </c>
      <c r="G52" s="341"/>
      <c r="H52" s="341">
        <f>H30-H50</f>
        <v>0</v>
      </c>
      <c r="I52" s="341"/>
      <c r="J52" s="341">
        <f>J30-J50</f>
        <v>0</v>
      </c>
      <c r="K52" s="341"/>
      <c r="L52" s="341">
        <f>L30-L50</f>
        <v>0</v>
      </c>
      <c r="M52" s="341"/>
      <c r="N52" s="341">
        <f>N30-N50</f>
        <v>0</v>
      </c>
      <c r="O52" s="341"/>
      <c r="P52" s="341">
        <f>P30-P50</f>
        <v>0</v>
      </c>
      <c r="Q52" s="341"/>
      <c r="R52" s="341">
        <f>R30-R50</f>
        <v>-0.5</v>
      </c>
      <c r="S52" s="341"/>
      <c r="T52" s="341"/>
      <c r="U52" s="341"/>
      <c r="V52" s="341"/>
      <c r="W52" s="342"/>
      <c r="X52" s="341">
        <f>X30-X50</f>
        <v>-0.5</v>
      </c>
      <c r="Y52" s="342"/>
      <c r="Z52" s="410"/>
    </row>
    <row r="54" spans="1:26">
      <c r="A54" s="76" t="s">
        <v>413</v>
      </c>
      <c r="B54" s="128">
        <f>'BS (3)'!N40</f>
        <v>12836073308</v>
      </c>
      <c r="D54" s="128">
        <f>'BS (3)'!N41</f>
        <v>1103066889</v>
      </c>
      <c r="F54" s="128">
        <f>'BS (3)'!N43</f>
        <v>1624718712</v>
      </c>
      <c r="R54" s="74">
        <f>'BS (3)'!N42</f>
        <v>5385880698</v>
      </c>
      <c r="X54" s="74">
        <f>'BS (3)'!N44</f>
        <v>20949739607</v>
      </c>
    </row>
    <row r="56" spans="1:26" s="340" customFormat="1">
      <c r="A56" s="340" t="s">
        <v>411</v>
      </c>
      <c r="B56" s="341">
        <f>B44-B54</f>
        <v>-50000000</v>
      </c>
      <c r="C56" s="341"/>
      <c r="D56" s="341">
        <f>D44-D54</f>
        <v>-52807211</v>
      </c>
      <c r="E56" s="341"/>
      <c r="F56" s="341">
        <f>SUM(F44:P44)-F54</f>
        <v>-50902868</v>
      </c>
      <c r="G56" s="341"/>
      <c r="H56" s="341"/>
      <c r="I56" s="341"/>
      <c r="J56" s="341"/>
      <c r="K56" s="341"/>
      <c r="L56" s="341"/>
      <c r="M56" s="341"/>
      <c r="N56" s="341"/>
      <c r="O56" s="341"/>
      <c r="P56" s="341"/>
      <c r="Q56" s="341"/>
      <c r="R56" s="342">
        <f>R44-R54</f>
        <v>155780079.27000046</v>
      </c>
      <c r="S56" s="342"/>
      <c r="T56" s="342"/>
      <c r="U56" s="342"/>
      <c r="V56" s="342"/>
      <c r="W56" s="342"/>
      <c r="X56" s="342">
        <f>X44-X54</f>
        <v>2070000.2700004578</v>
      </c>
      <c r="Y56" s="342"/>
      <c r="Z56" s="410"/>
    </row>
  </sheetData>
  <mergeCells count="5">
    <mergeCell ref="A1:X1"/>
    <mergeCell ref="A3:A4"/>
    <mergeCell ref="D3:D4"/>
    <mergeCell ref="F3:N3"/>
    <mergeCell ref="X3:X4"/>
  </mergeCells>
  <pageMargins left="0.55000000000000004" right="0.24" top="0.27" bottom="0.2" header="0.25" footer="0.17"/>
  <pageSetup paperSize="9" scale="58" orientation="landscape" r:id="rId1"/>
</worksheet>
</file>

<file path=xl/worksheets/sheet37.xml><?xml version="1.0" encoding="utf-8"?>
<worksheet xmlns="http://schemas.openxmlformats.org/spreadsheetml/2006/main" xmlns:r="http://schemas.openxmlformats.org/officeDocument/2006/relationships">
  <sheetPr>
    <tabColor rgb="FF00B050"/>
    <pageSetUpPr fitToPage="1"/>
  </sheetPr>
  <dimension ref="A1:N92"/>
  <sheetViews>
    <sheetView view="pageBreakPreview" zoomScaleSheetLayoutView="100" workbookViewId="0">
      <pane ySplit="2" topLeftCell="A21" activePane="bottomLeft" state="frozen"/>
      <selection activeCell="C8" sqref="C8"/>
      <selection pane="bottomLeft" activeCell="C8" sqref="C8"/>
    </sheetView>
  </sheetViews>
  <sheetFormatPr defaultColWidth="9.140625" defaultRowHeight="15.75"/>
  <cols>
    <col min="1" max="1" width="71.85546875" style="75" customWidth="1"/>
    <col min="2" max="2" width="3.28515625" style="75" customWidth="1"/>
    <col min="3" max="3" width="18.7109375" style="74" bestFit="1" customWidth="1"/>
    <col min="4" max="4" width="0.85546875" style="74" customWidth="1"/>
    <col min="5" max="5" width="17" style="74" customWidth="1"/>
    <col min="6" max="6" width="0.85546875" style="74" customWidth="1"/>
    <col min="7" max="7" width="17.5703125" style="278" customWidth="1"/>
    <col min="8" max="8" width="0.85546875" style="74" customWidth="1"/>
    <col min="9" max="9" width="17.28515625" style="74" customWidth="1"/>
    <col min="10" max="10" width="1.28515625" style="75" customWidth="1"/>
    <col min="11" max="11" width="9.140625" style="75"/>
    <col min="12" max="12" width="19.42578125" style="75" bestFit="1" customWidth="1"/>
    <col min="13" max="16384" width="9.140625" style="75"/>
  </cols>
  <sheetData>
    <row r="1" spans="1:12">
      <c r="C1" s="98">
        <f>C34-C39</f>
        <v>4222780685.9799995</v>
      </c>
      <c r="E1" s="74">
        <f>E34-E39</f>
        <v>0</v>
      </c>
      <c r="G1" s="278">
        <f>G34-G39</f>
        <v>3232353901.9799995</v>
      </c>
      <c r="I1" s="74">
        <f>I34-I39</f>
        <v>-9567092.5500001907</v>
      </c>
    </row>
    <row r="2" spans="1:12">
      <c r="A2" s="1787" t="s">
        <v>124</v>
      </c>
      <c r="B2" s="1787"/>
      <c r="C2" s="1788"/>
      <c r="D2" s="1788"/>
      <c r="E2" s="1788"/>
      <c r="F2" s="1788"/>
      <c r="G2" s="1788"/>
      <c r="H2" s="1788"/>
      <c r="I2" s="1788"/>
    </row>
    <row r="3" spans="1:12">
      <c r="A3" s="72"/>
      <c r="B3" s="72"/>
    </row>
    <row r="4" spans="1:12" ht="15" customHeight="1" thickBot="1">
      <c r="A4" s="80"/>
      <c r="B4" s="80"/>
      <c r="C4" s="1800" t="s">
        <v>77</v>
      </c>
      <c r="D4" s="1800"/>
      <c r="E4" s="1800"/>
      <c r="F4" s="161"/>
      <c r="G4" s="1800" t="s">
        <v>78</v>
      </c>
      <c r="H4" s="1800"/>
      <c r="I4" s="1800"/>
    </row>
    <row r="5" spans="1:12">
      <c r="A5" s="80" t="s">
        <v>577</v>
      </c>
      <c r="B5" s="80"/>
      <c r="C5" s="167">
        <v>2014</v>
      </c>
      <c r="D5" s="81"/>
      <c r="E5" s="166">
        <v>2013</v>
      </c>
      <c r="F5" s="81"/>
      <c r="G5" s="1215">
        <f>C5</f>
        <v>2014</v>
      </c>
      <c r="H5" s="81"/>
      <c r="I5" s="166">
        <f>E5</f>
        <v>2013</v>
      </c>
    </row>
    <row r="6" spans="1:12">
      <c r="A6" s="80"/>
      <c r="B6" s="80"/>
      <c r="C6" s="117" t="s">
        <v>150</v>
      </c>
      <c r="D6" s="81"/>
      <c r="E6" s="81" t="s">
        <v>150</v>
      </c>
      <c r="F6" s="81"/>
      <c r="G6" s="425" t="s">
        <v>150</v>
      </c>
      <c r="H6" s="81"/>
      <c r="I6" s="81" t="s">
        <v>150</v>
      </c>
    </row>
    <row r="7" spans="1:12" ht="16.5" thickBot="1">
      <c r="A7" s="103"/>
      <c r="B7" s="103"/>
      <c r="C7" s="118" t="s">
        <v>148</v>
      </c>
      <c r="D7" s="349"/>
      <c r="E7" s="349" t="s">
        <v>148</v>
      </c>
      <c r="F7" s="349"/>
      <c r="G7" s="426" t="s">
        <v>148</v>
      </c>
      <c r="H7" s="349"/>
      <c r="I7" s="349" t="s">
        <v>148</v>
      </c>
    </row>
    <row r="8" spans="1:12" s="72" customFormat="1" ht="18" customHeight="1">
      <c r="A8" s="108" t="s">
        <v>125</v>
      </c>
      <c r="B8" s="108"/>
      <c r="C8" s="121"/>
      <c r="D8" s="90"/>
      <c r="E8" s="90"/>
      <c r="F8" s="90"/>
      <c r="G8" s="411"/>
      <c r="H8" s="90"/>
      <c r="I8" s="90"/>
    </row>
    <row r="9" spans="1:12" s="151" customFormat="1">
      <c r="A9" s="92" t="s">
        <v>126</v>
      </c>
      <c r="B9" s="92"/>
      <c r="C9" s="1195">
        <f>'CF Working - 2014'!H92</f>
        <v>2447934756.9799995</v>
      </c>
      <c r="D9" s="162"/>
      <c r="E9" s="1195">
        <f>'CF Working - 2013'!H92</f>
        <v>1982394956.1529999</v>
      </c>
      <c r="F9" s="162"/>
      <c r="G9" s="1195">
        <f>'CF Working - 2014'!T92</f>
        <v>2647020848.7700005</v>
      </c>
      <c r="H9" s="162"/>
      <c r="I9" s="162">
        <f>'CF Working - 2013'!T92</f>
        <v>2144569992.823</v>
      </c>
    </row>
    <row r="10" spans="1:12" s="151" customFormat="1">
      <c r="A10" s="92" t="s">
        <v>127</v>
      </c>
      <c r="B10" s="92"/>
      <c r="C10" s="168"/>
      <c r="D10" s="162"/>
      <c r="E10" s="162"/>
      <c r="F10" s="162"/>
      <c r="G10" s="168"/>
      <c r="H10" s="162"/>
      <c r="I10" s="162"/>
    </row>
    <row r="11" spans="1:12" s="151" customFormat="1">
      <c r="A11" s="92" t="s">
        <v>317</v>
      </c>
      <c r="B11" s="92"/>
      <c r="C11" s="168">
        <f>'CF Working - 2014'!H118</f>
        <v>94571452.700000003</v>
      </c>
      <c r="D11" s="162"/>
      <c r="E11" s="1195">
        <f>'CF Working - 2013'!H118</f>
        <v>102118628.97</v>
      </c>
      <c r="F11" s="162"/>
      <c r="G11" s="168">
        <f>'CF Working - 2014'!T118</f>
        <v>120706421.69999999</v>
      </c>
      <c r="H11" s="162"/>
      <c r="I11" s="162">
        <f>'CF Working - 2013'!T118</f>
        <v>130534784.41</v>
      </c>
      <c r="J11" s="153">
        <v>0</v>
      </c>
    </row>
    <row r="12" spans="1:12" s="151" customFormat="1">
      <c r="A12" s="92" t="s">
        <v>128</v>
      </c>
      <c r="B12" s="92"/>
      <c r="C12" s="168">
        <f>'CF Working - 2014'!H130</f>
        <v>-2235497858.4000001</v>
      </c>
      <c r="D12" s="162"/>
      <c r="E12" s="1195">
        <f>'CF Working - 2013'!H130</f>
        <v>-1411378897</v>
      </c>
      <c r="F12" s="162"/>
      <c r="G12" s="168">
        <f>'CF Working - 2014'!T130</f>
        <v>-3200568941.4000001</v>
      </c>
      <c r="H12" s="162"/>
      <c r="I12" s="162">
        <f>'CF Working - 2013'!T130-37400000</f>
        <v>-1622276767</v>
      </c>
      <c r="L12" s="1231">
        <v>-1953922235.5895</v>
      </c>
    </row>
    <row r="13" spans="1:12" s="151" customFormat="1">
      <c r="A13" s="92" t="s">
        <v>129</v>
      </c>
      <c r="B13" s="92"/>
      <c r="C13" s="168">
        <f>'CF Working - 2014'!H141</f>
        <v>10191805636.290001</v>
      </c>
      <c r="D13" s="162"/>
      <c r="E13" s="1195">
        <f>'CF Working - 2013'!H141-13000000</f>
        <v>4464659860.8470001</v>
      </c>
      <c r="F13" s="162"/>
      <c r="G13" s="168">
        <f>'CF Working - 2014'!T141</f>
        <v>10611173126.5</v>
      </c>
      <c r="H13" s="162"/>
      <c r="I13" s="162">
        <f>'CF Working - 2013'!T141</f>
        <v>4346714423.1870003</v>
      </c>
    </row>
    <row r="14" spans="1:12" s="151" customFormat="1">
      <c r="A14" s="92" t="s">
        <v>130</v>
      </c>
      <c r="B14" s="92"/>
      <c r="C14" s="1193">
        <v>-10030193.539999999</v>
      </c>
      <c r="D14" s="162"/>
      <c r="E14" s="1247">
        <f>-57000000</f>
        <v>-57000000</v>
      </c>
      <c r="F14" s="162"/>
      <c r="G14" s="1193">
        <v>-10030193.539999999</v>
      </c>
      <c r="H14" s="162"/>
      <c r="I14" s="162">
        <v>0</v>
      </c>
    </row>
    <row r="15" spans="1:12" s="151" customFormat="1">
      <c r="A15" s="92" t="s">
        <v>187</v>
      </c>
      <c r="B15" s="92"/>
      <c r="C15" s="168">
        <f>'CF Working - 2014'!H79</f>
        <v>-1228005</v>
      </c>
      <c r="D15" s="162"/>
      <c r="E15" s="1195">
        <f>'CF Working - 2013'!H79</f>
        <v>-4247532</v>
      </c>
      <c r="F15" s="162"/>
      <c r="G15" s="168">
        <f>'CF Working - 2014'!T79</f>
        <v>-1228005</v>
      </c>
      <c r="H15" s="162"/>
      <c r="I15" s="162">
        <f>'CF Working - 2013'!T79</f>
        <v>-4247532</v>
      </c>
    </row>
    <row r="16" spans="1:12" s="151" customFormat="1">
      <c r="A16" s="92" t="s">
        <v>131</v>
      </c>
      <c r="B16" s="92"/>
      <c r="C16" s="168">
        <f>'CF Working - 2014'!H70</f>
        <v>-140983054</v>
      </c>
      <c r="D16" s="162"/>
      <c r="E16" s="1195">
        <f>'CF Working - 2013'!H70</f>
        <v>0</v>
      </c>
      <c r="F16" s="162"/>
      <c r="G16" s="168">
        <f>'CF Working - 2014'!T70</f>
        <v>-163018924</v>
      </c>
      <c r="H16" s="162"/>
      <c r="I16" s="162">
        <f>'CF Working - 2013'!T70</f>
        <v>59469</v>
      </c>
    </row>
    <row r="17" spans="1:14" s="152" customFormat="1" ht="21" customHeight="1" thickBot="1">
      <c r="A17" s="163" t="s">
        <v>132</v>
      </c>
      <c r="B17" s="163"/>
      <c r="C17" s="171">
        <f>SUM(C9:C16)</f>
        <v>10346572735.029999</v>
      </c>
      <c r="D17" s="156"/>
      <c r="E17" s="154">
        <f>SUM(E9:E16)</f>
        <v>5076547016.9700003</v>
      </c>
      <c r="F17" s="156"/>
      <c r="G17" s="427">
        <f>SUM(G9:G16)</f>
        <v>10004054333.029999</v>
      </c>
      <c r="H17" s="156"/>
      <c r="I17" s="154">
        <f>SUM(I9:I16)</f>
        <v>4995354370.4200001</v>
      </c>
    </row>
    <row r="18" spans="1:14" s="152" customFormat="1">
      <c r="A18" s="155"/>
      <c r="B18" s="155"/>
      <c r="C18" s="169"/>
      <c r="D18" s="156"/>
      <c r="E18" s="156"/>
      <c r="F18" s="156"/>
      <c r="G18" s="428"/>
      <c r="H18" s="156"/>
      <c r="I18" s="156"/>
      <c r="K18" s="157"/>
      <c r="N18" s="158"/>
    </row>
    <row r="19" spans="1:14" s="152" customFormat="1">
      <c r="A19" s="155" t="s">
        <v>133</v>
      </c>
      <c r="B19" s="155"/>
      <c r="C19" s="169"/>
      <c r="D19" s="156"/>
      <c r="E19" s="156"/>
      <c r="F19" s="156"/>
      <c r="G19" s="428"/>
      <c r="H19" s="156"/>
      <c r="I19" s="156"/>
      <c r="K19" s="157"/>
      <c r="N19" s="158"/>
    </row>
    <row r="20" spans="1:14" s="151" customFormat="1">
      <c r="A20" s="92" t="s">
        <v>134</v>
      </c>
      <c r="B20" s="92"/>
      <c r="C20" s="168">
        <f>'CF Working - 2014'!H39+'CF Working - 2014'!H43+'CF Working - 2014'!H34</f>
        <v>-238228747</v>
      </c>
      <c r="D20" s="162"/>
      <c r="E20" s="1195">
        <f>'CF Working - 2013'!H39+'CF Working - 2013'!H43+'CF Working - 2013'!H34+13000000+13000000</f>
        <v>-139367337</v>
      </c>
      <c r="F20" s="162"/>
      <c r="G20" s="168">
        <f>'CF Working - 2014'!T39+'CF Working - 2014'!T43+'CF Working - 2014'!T34</f>
        <v>-1000783366</v>
      </c>
      <c r="H20" s="162"/>
      <c r="I20" s="162">
        <f>'CF Working - 2013'!T39+'CF Working - 2013'!T43+'CF Working - 2013'!T34+13000000+37400000</f>
        <v>-163186390</v>
      </c>
      <c r="L20" s="1230"/>
    </row>
    <row r="21" spans="1:14" s="151" customFormat="1">
      <c r="A21" s="92" t="s">
        <v>135</v>
      </c>
      <c r="B21" s="92"/>
      <c r="C21" s="168">
        <f>'CF Working - 2014'!H42</f>
        <v>5209821.3</v>
      </c>
      <c r="D21" s="162"/>
      <c r="E21" s="1195">
        <f>'CF Working - 2013'!H42</f>
        <v>12995446.029999999</v>
      </c>
      <c r="F21" s="162"/>
      <c r="G21" s="168">
        <f>'CF Working - 2014'!T42</f>
        <v>5209821.3</v>
      </c>
      <c r="H21" s="162"/>
      <c r="I21" s="162">
        <f>'CF Working - 2013'!T42</f>
        <v>12995446.029999999</v>
      </c>
      <c r="L21" s="175"/>
    </row>
    <row r="22" spans="1:14" s="151" customFormat="1">
      <c r="A22" s="92" t="s">
        <v>455</v>
      </c>
      <c r="B22" s="92"/>
      <c r="C22" s="168">
        <f>'CF Working - 2014'!H32</f>
        <v>-21444</v>
      </c>
      <c r="D22" s="162"/>
      <c r="E22" s="1195">
        <f>'CF Working - 2013'!H32</f>
        <v>-12000000</v>
      </c>
      <c r="F22" s="162"/>
      <c r="G22" s="168">
        <f>'CF Working - 2014'!T32</f>
        <v>-21444</v>
      </c>
      <c r="H22" s="162"/>
      <c r="I22" s="162">
        <f>'CF Working - 2013'!T32</f>
        <v>-12000000</v>
      </c>
      <c r="L22" s="1230"/>
    </row>
    <row r="23" spans="1:14" s="151" customFormat="1">
      <c r="A23" s="92" t="s">
        <v>136</v>
      </c>
      <c r="B23" s="92"/>
      <c r="C23" s="1193">
        <f>-C14</f>
        <v>10030193.539999999</v>
      </c>
      <c r="D23" s="162"/>
      <c r="E23" s="1247">
        <f>-E14</f>
        <v>57000000</v>
      </c>
      <c r="F23" s="162"/>
      <c r="G23" s="1193">
        <f>-G14</f>
        <v>10030193.539999999</v>
      </c>
      <c r="H23" s="162"/>
      <c r="I23" s="162">
        <f>-I14</f>
        <v>0</v>
      </c>
    </row>
    <row r="24" spans="1:14" s="152" customFormat="1" ht="18" customHeight="1" thickBot="1">
      <c r="A24" s="163" t="s">
        <v>137</v>
      </c>
      <c r="B24" s="163"/>
      <c r="C24" s="171">
        <f>SUM(C20:C23)</f>
        <v>-223010176.16</v>
      </c>
      <c r="D24" s="156"/>
      <c r="E24" s="154">
        <f>SUM(E20:E23)</f>
        <v>-81371890.969999999</v>
      </c>
      <c r="F24" s="156"/>
      <c r="G24" s="427">
        <f>SUM(G20:G23)</f>
        <v>-985564795.16000009</v>
      </c>
      <c r="H24" s="156"/>
      <c r="I24" s="154">
        <f>SUM(I20:I23)</f>
        <v>-162190943.97</v>
      </c>
      <c r="J24" s="155"/>
    </row>
    <row r="25" spans="1:14" s="152" customFormat="1">
      <c r="A25" s="155"/>
      <c r="B25" s="155"/>
      <c r="C25" s="169"/>
      <c r="D25" s="156"/>
      <c r="E25" s="156"/>
      <c r="F25" s="156"/>
      <c r="G25" s="428"/>
      <c r="H25" s="156"/>
      <c r="I25" s="156"/>
      <c r="J25" s="155"/>
    </row>
    <row r="26" spans="1:14" s="151" customFormat="1">
      <c r="A26" s="155" t="s">
        <v>138</v>
      </c>
      <c r="B26" s="155"/>
      <c r="C26" s="168"/>
      <c r="D26" s="162"/>
      <c r="E26" s="162"/>
      <c r="F26" s="162"/>
      <c r="G26" s="416"/>
      <c r="H26" s="162"/>
      <c r="I26" s="162"/>
    </row>
    <row r="27" spans="1:14" s="151" customFormat="1">
      <c r="A27" s="155"/>
      <c r="B27" s="155"/>
      <c r="C27" s="168">
        <f>'CF Working - 2014'!H52+'CF Working - 2014'!H57</f>
        <v>-2591623860</v>
      </c>
      <c r="D27" s="162"/>
      <c r="E27" s="162">
        <f>'CF Working - 2013'!H52+'CF Working - 2013'!H57</f>
        <v>-5300175022</v>
      </c>
      <c r="F27" s="162"/>
      <c r="G27" s="416">
        <f>'CF Working - 2014'!T52+'CF Working - 2014'!T57</f>
        <v>-2563808819</v>
      </c>
      <c r="H27" s="162"/>
      <c r="I27" s="162">
        <f>'CF Working - 2013'!T52+'CF Working - 2013'!T57</f>
        <v>-5292725448</v>
      </c>
    </row>
    <row r="28" spans="1:14">
      <c r="A28" s="77" t="s">
        <v>139</v>
      </c>
      <c r="B28" s="77"/>
      <c r="C28" s="119">
        <f>'CF Working - 2014'!H61</f>
        <v>-697676.89</v>
      </c>
      <c r="D28" s="79"/>
      <c r="E28" s="79">
        <v>0</v>
      </c>
      <c r="F28" s="79"/>
      <c r="G28" s="119">
        <f>'CF Working - 2014'!T61</f>
        <v>-697676.89</v>
      </c>
      <c r="H28" s="79"/>
      <c r="I28" s="79">
        <v>0</v>
      </c>
    </row>
    <row r="29" spans="1:14">
      <c r="A29" s="77" t="s">
        <v>140</v>
      </c>
      <c r="B29" s="77"/>
      <c r="C29" s="1188">
        <f>'CF Working - 2014'!H51</f>
        <v>-50000000</v>
      </c>
      <c r="D29" s="79"/>
      <c r="E29" s="1188">
        <f>'CF Working - 2013'!H51</f>
        <v>-50000000</v>
      </c>
      <c r="F29" s="79"/>
      <c r="G29" s="1188">
        <f>'CF Working - 2014'!T51</f>
        <v>-50000000</v>
      </c>
      <c r="H29" s="79"/>
      <c r="I29" s="79">
        <f>'CF Working - 2013'!T51</f>
        <v>-50000000</v>
      </c>
    </row>
    <row r="30" spans="1:14" s="72" customFormat="1" ht="16.5" thickBot="1">
      <c r="A30" s="108" t="s">
        <v>141</v>
      </c>
      <c r="B30" s="108"/>
      <c r="C30" s="120">
        <f>SUM(C27:C29)</f>
        <v>-2642321536.8899999</v>
      </c>
      <c r="D30" s="90"/>
      <c r="E30" s="120">
        <f>SUM(E27:E29)</f>
        <v>-5350175022</v>
      </c>
      <c r="F30" s="90"/>
      <c r="G30" s="120">
        <f>SUM(G27:G29)</f>
        <v>-2614506495.8899999</v>
      </c>
      <c r="H30" s="90"/>
      <c r="I30" s="120">
        <f>SUM(I27:I29)</f>
        <v>-5342725448</v>
      </c>
    </row>
    <row r="31" spans="1:14">
      <c r="A31" s="77"/>
      <c r="B31" s="77"/>
      <c r="C31" s="119"/>
      <c r="D31" s="79"/>
      <c r="E31" s="79"/>
      <c r="F31" s="79"/>
      <c r="G31" s="35"/>
      <c r="H31" s="79"/>
      <c r="I31" s="79"/>
    </row>
    <row r="32" spans="1:14" s="72" customFormat="1">
      <c r="A32" s="80" t="s">
        <v>142</v>
      </c>
      <c r="B32" s="80"/>
      <c r="C32" s="121">
        <f t="shared" ref="C32:I32" si="0">C17+C24+C30</f>
        <v>7481241021.9799995</v>
      </c>
      <c r="D32" s="90">
        <f t="shared" si="0"/>
        <v>0</v>
      </c>
      <c r="E32" s="90">
        <f t="shared" si="0"/>
        <v>-354999896</v>
      </c>
      <c r="F32" s="90">
        <f t="shared" si="0"/>
        <v>0</v>
      </c>
      <c r="G32" s="411">
        <f t="shared" si="0"/>
        <v>6403983041.9799995</v>
      </c>
      <c r="H32" s="90">
        <f t="shared" si="0"/>
        <v>0</v>
      </c>
      <c r="I32" s="90">
        <f t="shared" si="0"/>
        <v>-509562021.55000019</v>
      </c>
    </row>
    <row r="33" spans="1:12">
      <c r="A33" s="77" t="s">
        <v>189</v>
      </c>
      <c r="B33" s="77"/>
      <c r="C33" s="119">
        <f>'CF Working - 2014'!E9+'CF Working - 2014'!E54</f>
        <v>1652429656</v>
      </c>
      <c r="D33" s="79"/>
      <c r="E33" s="79">
        <f>'CF Working - 2013'!E9+'CF Working - 2013'!E54</f>
        <v>3178053288</v>
      </c>
      <c r="F33" s="79"/>
      <c r="G33" s="35">
        <f>'CF Working - 2014'!Q9+'CF Working - 2014'!Q54</f>
        <v>1883151772</v>
      </c>
      <c r="H33" s="79"/>
      <c r="I33" s="79">
        <f>'CF Working - 2013'!Q9+'CF Working - 2013'!Q54</f>
        <v>3342418678</v>
      </c>
    </row>
    <row r="34" spans="1:12" ht="16.5" thickBot="1">
      <c r="A34" s="80" t="s">
        <v>188</v>
      </c>
      <c r="B34" s="80"/>
      <c r="C34" s="120">
        <f>SUM(C32:C33)</f>
        <v>9133670677.9799995</v>
      </c>
      <c r="D34" s="90"/>
      <c r="E34" s="107">
        <f>SUM(E32:E33)</f>
        <v>2823053392</v>
      </c>
      <c r="F34" s="90"/>
      <c r="G34" s="417">
        <f>SUM(G32:G33)</f>
        <v>8287134813.9799995</v>
      </c>
      <c r="H34" s="90"/>
      <c r="I34" s="107">
        <f>SUM(I32:I33)</f>
        <v>2832856656.4499998</v>
      </c>
    </row>
    <row r="35" spans="1:12">
      <c r="A35" s="77"/>
      <c r="B35" s="77"/>
      <c r="C35" s="170"/>
      <c r="D35" s="164"/>
      <c r="E35" s="164"/>
      <c r="F35" s="164"/>
      <c r="G35" s="429"/>
      <c r="H35" s="164"/>
      <c r="I35" s="164"/>
    </row>
    <row r="36" spans="1:12">
      <c r="A36" s="77"/>
      <c r="B36" s="77"/>
      <c r="C36" s="119"/>
      <c r="D36" s="79"/>
      <c r="E36" s="79"/>
      <c r="F36" s="79"/>
      <c r="G36" s="35"/>
      <c r="H36" s="79"/>
      <c r="I36" s="79"/>
    </row>
    <row r="37" spans="1:12">
      <c r="A37" s="77" t="s">
        <v>96</v>
      </c>
      <c r="B37" s="77"/>
      <c r="C37" s="119">
        <f>'CF Working - 2014'!C9</f>
        <v>5242184312</v>
      </c>
      <c r="D37" s="79"/>
      <c r="E37" s="79">
        <f>'CF Working - 2013'!C9</f>
        <v>3562752748</v>
      </c>
      <c r="F37" s="79"/>
      <c r="G37" s="35">
        <f>'CF Working - 2014'!O9</f>
        <v>5454907220</v>
      </c>
      <c r="H37" s="79">
        <f>'BS (3)'!O9</f>
        <v>0</v>
      </c>
      <c r="I37" s="79">
        <f>'CF Working - 2013'!O9</f>
        <v>3710785431</v>
      </c>
      <c r="L37" s="87">
        <f>E37-C37</f>
        <v>-1679431564</v>
      </c>
    </row>
    <row r="38" spans="1:12">
      <c r="A38" s="165" t="s">
        <v>190</v>
      </c>
      <c r="B38" s="165"/>
      <c r="C38" s="1191">
        <v>-331294320</v>
      </c>
      <c r="D38" s="79"/>
      <c r="E38" s="1191">
        <f>'CF Working - 2013'!C54</f>
        <v>-739699356</v>
      </c>
      <c r="F38" s="79"/>
      <c r="G38" s="35">
        <v>-400126308</v>
      </c>
      <c r="H38" s="79"/>
      <c r="I38" s="79">
        <f>'CF Working - 2013'!O54</f>
        <v>-868361682</v>
      </c>
      <c r="L38" s="87">
        <f>E38-C38</f>
        <v>-408405036</v>
      </c>
    </row>
    <row r="39" spans="1:12" s="72" customFormat="1" ht="16.5" thickBot="1">
      <c r="A39" s="80"/>
      <c r="B39" s="80"/>
      <c r="C39" s="126">
        <f>SUM(C37:C38)</f>
        <v>4910889992</v>
      </c>
      <c r="D39" s="90"/>
      <c r="E39" s="127">
        <f>SUM(E37:E38)</f>
        <v>2823053392</v>
      </c>
      <c r="F39" s="90"/>
      <c r="G39" s="418">
        <f>SUM(G37:G38)</f>
        <v>5054780912</v>
      </c>
      <c r="H39" s="90"/>
      <c r="I39" s="127">
        <f>SUM(I37:I38)</f>
        <v>2842423749</v>
      </c>
    </row>
    <row r="40" spans="1:12" s="72" customFormat="1" ht="16.5" thickTop="1">
      <c r="C40" s="90"/>
      <c r="D40" s="90"/>
      <c r="E40" s="90"/>
      <c r="F40" s="90"/>
      <c r="G40" s="419"/>
      <c r="H40" s="90"/>
      <c r="I40" s="90"/>
    </row>
    <row r="41" spans="1:12" s="72" customFormat="1">
      <c r="A41" s="1" t="s">
        <v>146</v>
      </c>
      <c r="C41" s="90"/>
      <c r="D41" s="90"/>
      <c r="E41" s="90"/>
      <c r="F41" s="90"/>
      <c r="G41" s="419"/>
      <c r="H41" s="90"/>
      <c r="I41" s="90"/>
    </row>
    <row r="42" spans="1:12" s="72" customFormat="1">
      <c r="A42" s="348" t="s">
        <v>177</v>
      </c>
      <c r="C42" s="90"/>
      <c r="D42" s="90"/>
      <c r="E42" s="90"/>
      <c r="F42" s="90"/>
      <c r="G42" s="419"/>
      <c r="H42" s="90"/>
      <c r="I42" s="90"/>
    </row>
    <row r="43" spans="1:12" s="72" customFormat="1">
      <c r="C43" s="90"/>
      <c r="D43" s="90"/>
      <c r="E43" s="90"/>
      <c r="F43" s="90"/>
      <c r="G43" s="419"/>
      <c r="H43" s="90"/>
      <c r="I43" s="90"/>
    </row>
    <row r="46" spans="1:12">
      <c r="J46" s="74"/>
    </row>
    <row r="76" spans="1:2" ht="16.5" thickBot="1">
      <c r="A76" s="159"/>
      <c r="B76" s="80"/>
    </row>
    <row r="78" spans="1:2">
      <c r="A78" s="72"/>
      <c r="B78" s="72"/>
    </row>
    <row r="92" spans="3:4" ht="16.5" thickBot="1">
      <c r="C92" s="160"/>
      <c r="D92" s="79"/>
    </row>
  </sheetData>
  <mergeCells count="3">
    <mergeCell ref="A2:I2"/>
    <mergeCell ref="C4:E4"/>
    <mergeCell ref="G4:I4"/>
  </mergeCells>
  <pageMargins left="0.5" right="0.25" top="0.75" bottom="0.75" header="0.3" footer="0.3"/>
  <pageSetup paperSize="9" scale="66" orientation="portrait" r:id="rId1"/>
</worksheet>
</file>

<file path=xl/worksheets/sheet38.xml><?xml version="1.0" encoding="utf-8"?>
<worksheet xmlns="http://schemas.openxmlformats.org/spreadsheetml/2006/main" xmlns:r="http://schemas.openxmlformats.org/officeDocument/2006/relationships">
  <sheetPr>
    <tabColor rgb="FF00B050"/>
    <pageSetUpPr fitToPage="1"/>
  </sheetPr>
  <dimension ref="A1:AB54"/>
  <sheetViews>
    <sheetView view="pageBreakPreview" zoomScale="90" zoomScaleNormal="70" zoomScaleSheetLayoutView="90" workbookViewId="0">
      <pane xSplit="2" ySplit="4" topLeftCell="J5" activePane="bottomRight" state="frozen"/>
      <selection activeCell="C8" sqref="C8"/>
      <selection pane="topRight" activeCell="C8" sqref="C8"/>
      <selection pane="bottomLeft" activeCell="C8" sqref="C8"/>
      <selection pane="bottomRight" activeCell="C8" sqref="C8"/>
    </sheetView>
  </sheetViews>
  <sheetFormatPr defaultColWidth="19.7109375" defaultRowHeight="15.75"/>
  <cols>
    <col min="1" max="1" width="19.7109375" style="376"/>
    <col min="2" max="2" width="23.28515625" style="398" customWidth="1"/>
    <col min="3" max="3" width="18.7109375" style="374" customWidth="1"/>
    <col min="4" max="4" width="0.85546875" style="374" customWidth="1"/>
    <col min="5" max="5" width="17.28515625" style="374" customWidth="1"/>
    <col min="6" max="6" width="0.85546875" style="374" customWidth="1"/>
    <col min="7" max="7" width="16.7109375" style="399" customWidth="1"/>
    <col min="8" max="8" width="0.85546875" style="374" customWidth="1"/>
    <col min="9" max="9" width="18.28515625" style="374" customWidth="1"/>
    <col min="10" max="10" width="0.85546875" style="374" customWidth="1"/>
    <col min="11" max="12" width="17" style="374" customWidth="1"/>
    <col min="13" max="13" width="18.140625" style="376" customWidth="1"/>
    <col min="14" max="14" width="0.85546875" style="376" customWidth="1"/>
    <col min="15" max="15" width="19.7109375" style="376" customWidth="1"/>
    <col min="16" max="16" width="0.85546875" style="376" customWidth="1"/>
    <col min="17" max="17" width="16.7109375" style="372" customWidth="1"/>
    <col min="18" max="18" width="17" style="376" bestFit="1" customWidth="1"/>
    <col min="19" max="21" width="17.28515625" style="376" customWidth="1"/>
    <col min="22" max="16384" width="19.7109375" style="351"/>
  </cols>
  <sheetData>
    <row r="1" spans="1:27" ht="18.95" customHeight="1">
      <c r="A1" s="1802" t="s">
        <v>94</v>
      </c>
      <c r="B1" s="1803"/>
      <c r="C1" s="1803"/>
      <c r="D1" s="1803"/>
      <c r="E1" s="1803"/>
      <c r="F1" s="1803"/>
      <c r="G1" s="1803"/>
      <c r="H1" s="1803"/>
      <c r="I1" s="1803"/>
      <c r="J1" s="1803"/>
      <c r="K1" s="1803"/>
      <c r="L1" s="1803"/>
      <c r="M1" s="1803"/>
      <c r="N1" s="1803"/>
      <c r="O1" s="1803"/>
      <c r="P1" s="1803"/>
      <c r="Q1" s="1803"/>
      <c r="R1" s="350"/>
      <c r="S1" s="350"/>
      <c r="T1" s="350"/>
      <c r="U1" s="350"/>
    </row>
    <row r="2" spans="1:27" ht="18.95" customHeight="1">
      <c r="A2" s="352"/>
      <c r="B2" s="353"/>
      <c r="C2" s="354"/>
      <c r="D2" s="354"/>
      <c r="E2" s="354"/>
      <c r="F2" s="354"/>
      <c r="G2" s="355"/>
      <c r="H2" s="354"/>
      <c r="I2" s="354"/>
      <c r="J2" s="354"/>
      <c r="K2" s="354"/>
      <c r="L2" s="354"/>
      <c r="M2" s="356">
        <f>M14-C15</f>
        <v>-3029751355</v>
      </c>
      <c r="N2" s="352"/>
      <c r="O2" s="356">
        <f>O14-E14</f>
        <v>983525585</v>
      </c>
      <c r="P2" s="352"/>
      <c r="Q2" s="357">
        <f>M2-O2</f>
        <v>-4013276940</v>
      </c>
      <c r="R2" s="356">
        <f>R14-I14</f>
        <v>0</v>
      </c>
      <c r="S2" s="358">
        <f>S14-K14</f>
        <v>913076233</v>
      </c>
      <c r="T2" s="356">
        <f>S2-R2</f>
        <v>913076233</v>
      </c>
      <c r="U2" s="352"/>
    </row>
    <row r="3" spans="1:27" ht="15.75" customHeight="1" thickBot="1">
      <c r="A3" s="359"/>
      <c r="B3" s="1804"/>
      <c r="C3" s="1805" t="s">
        <v>77</v>
      </c>
      <c r="D3" s="1805"/>
      <c r="E3" s="1806"/>
      <c r="F3" s="1806"/>
      <c r="G3" s="1806"/>
      <c r="H3" s="360"/>
      <c r="I3" s="1805" t="s">
        <v>77</v>
      </c>
      <c r="J3" s="1805"/>
      <c r="K3" s="1805"/>
      <c r="L3" s="1805"/>
      <c r="M3" s="1801" t="s">
        <v>78</v>
      </c>
      <c r="N3" s="1801"/>
      <c r="O3" s="1801"/>
      <c r="P3" s="1801"/>
      <c r="Q3" s="1801"/>
      <c r="R3" s="1801" t="s">
        <v>78</v>
      </c>
      <c r="S3" s="1801"/>
      <c r="T3" s="1801"/>
      <c r="U3" s="1801"/>
      <c r="V3" s="1801"/>
    </row>
    <row r="4" spans="1:27" ht="15.75" customHeight="1">
      <c r="A4" s="359" t="s">
        <v>51</v>
      </c>
      <c r="B4" s="1804"/>
      <c r="C4" s="361" t="s">
        <v>454</v>
      </c>
      <c r="D4" s="360"/>
      <c r="E4" s="360" t="s">
        <v>409</v>
      </c>
      <c r="F4" s="360"/>
      <c r="G4" s="362"/>
      <c r="H4" s="360"/>
      <c r="I4" s="360" t="s">
        <v>276</v>
      </c>
      <c r="J4" s="360"/>
      <c r="K4" s="360" t="s">
        <v>403</v>
      </c>
      <c r="L4" s="360"/>
      <c r="M4" s="360" t="s">
        <v>352</v>
      </c>
      <c r="N4" s="360"/>
      <c r="O4" s="360" t="s">
        <v>53</v>
      </c>
      <c r="P4" s="360"/>
      <c r="Q4" s="362"/>
      <c r="R4" s="360" t="s">
        <v>276</v>
      </c>
      <c r="S4" s="360" t="s">
        <v>403</v>
      </c>
      <c r="T4" s="360"/>
      <c r="U4" s="360"/>
    </row>
    <row r="5" spans="1:27" ht="15.75" customHeight="1">
      <c r="A5" s="359"/>
      <c r="B5" s="363"/>
      <c r="C5" s="361" t="s">
        <v>150</v>
      </c>
      <c r="D5" s="360"/>
      <c r="E5" s="360" t="s">
        <v>150</v>
      </c>
      <c r="F5" s="360"/>
      <c r="G5" s="362"/>
      <c r="H5" s="360"/>
      <c r="I5" s="360"/>
      <c r="J5" s="360"/>
      <c r="K5" s="360"/>
      <c r="L5" s="360"/>
      <c r="M5" s="360" t="s">
        <v>150</v>
      </c>
      <c r="N5" s="360"/>
      <c r="O5" s="360" t="s">
        <v>150</v>
      </c>
      <c r="P5" s="360"/>
      <c r="Q5" s="362"/>
      <c r="R5" s="360"/>
      <c r="S5" s="360"/>
      <c r="T5" s="360"/>
      <c r="U5" s="360"/>
    </row>
    <row r="6" spans="1:27" ht="15.75" customHeight="1" thickBot="1">
      <c r="A6" s="364"/>
      <c r="B6" s="365"/>
      <c r="C6" s="366" t="s">
        <v>148</v>
      </c>
      <c r="D6" s="367"/>
      <c r="E6" s="367" t="s">
        <v>163</v>
      </c>
      <c r="F6" s="367"/>
      <c r="G6" s="368"/>
      <c r="H6" s="367"/>
      <c r="I6" s="367"/>
      <c r="J6" s="367"/>
      <c r="K6" s="367"/>
      <c r="L6" s="367"/>
      <c r="M6" s="367" t="s">
        <v>148</v>
      </c>
      <c r="N6" s="367"/>
      <c r="O6" s="367" t="s">
        <v>163</v>
      </c>
      <c r="P6" s="367"/>
      <c r="Q6" s="368"/>
      <c r="R6" s="360"/>
      <c r="S6" s="360"/>
      <c r="T6" s="360"/>
      <c r="U6" s="360"/>
      <c r="V6" s="351" t="s">
        <v>15</v>
      </c>
      <c r="W6" s="351" t="s">
        <v>13</v>
      </c>
      <c r="X6" s="369"/>
    </row>
    <row r="7" spans="1:27" ht="15.75" customHeight="1">
      <c r="A7" s="359" t="s">
        <v>95</v>
      </c>
      <c r="B7" s="353"/>
      <c r="C7" s="370"/>
      <c r="D7" s="354"/>
      <c r="E7" s="354"/>
      <c r="F7" s="354"/>
      <c r="G7" s="355"/>
      <c r="H7" s="354"/>
      <c r="I7" s="354"/>
      <c r="J7" s="354"/>
      <c r="K7" s="354"/>
      <c r="L7" s="354"/>
      <c r="M7" s="354"/>
      <c r="N7" s="354"/>
      <c r="O7" s="354"/>
      <c r="P7" s="354"/>
      <c r="Q7" s="355"/>
      <c r="R7" s="354"/>
      <c r="S7" s="354"/>
      <c r="T7" s="354"/>
      <c r="U7" s="354"/>
    </row>
    <row r="8" spans="1:27" s="372" customFormat="1" ht="15.75" customHeight="1">
      <c r="A8" s="352" t="s">
        <v>436</v>
      </c>
      <c r="B8" s="353"/>
      <c r="C8" s="370">
        <f>'BS (3)'!C9</f>
        <v>5242184312</v>
      </c>
      <c r="D8" s="354"/>
      <c r="E8" s="354">
        <f>'BS (3)'!E9</f>
        <v>2392129012</v>
      </c>
      <c r="F8" s="354"/>
      <c r="G8" s="355">
        <f>E8-C8</f>
        <v>-2850055300</v>
      </c>
      <c r="H8" s="354"/>
      <c r="I8" s="354">
        <v>479102697.85000002</v>
      </c>
      <c r="J8" s="354"/>
      <c r="K8" s="354">
        <v>445664142</v>
      </c>
      <c r="L8" s="355">
        <f>K8-I8</f>
        <v>-33438555.850000024</v>
      </c>
      <c r="M8" s="354">
        <v>313013349.57000017</v>
      </c>
      <c r="N8" s="354"/>
      <c r="O8" s="354">
        <v>519724085</v>
      </c>
      <c r="P8" s="354"/>
      <c r="Q8" s="355">
        <f>O8-M8</f>
        <v>206710735.42999983</v>
      </c>
      <c r="R8" s="354">
        <v>482762897.07999998</v>
      </c>
      <c r="S8" s="354">
        <v>451048417</v>
      </c>
      <c r="T8" s="355">
        <f>S8-R8</f>
        <v>-31714480.079999983</v>
      </c>
      <c r="U8" s="354"/>
      <c r="V8" s="371">
        <f t="shared" ref="V8:V43" si="0">E8-C8</f>
        <v>-2850055300</v>
      </c>
      <c r="W8" s="371">
        <f>M8-O8</f>
        <v>-206710735.42999983</v>
      </c>
    </row>
    <row r="9" spans="1:27" s="372" customFormat="1" ht="15.75" customHeight="1">
      <c r="A9" s="352" t="s">
        <v>437</v>
      </c>
      <c r="B9" s="353"/>
      <c r="C9" s="370">
        <f>'BS (3)'!C10</f>
        <v>316970235</v>
      </c>
      <c r="D9" s="354"/>
      <c r="E9" s="354">
        <f>'BS (3)'!E10</f>
        <v>598392048</v>
      </c>
      <c r="F9" s="354"/>
      <c r="G9" s="355">
        <f>E9-C9</f>
        <v>281421813</v>
      </c>
      <c r="H9" s="354"/>
      <c r="I9" s="354">
        <v>433642071</v>
      </c>
      <c r="J9" s="354"/>
      <c r="K9" s="354">
        <v>933308124</v>
      </c>
      <c r="L9" s="355">
        <f t="shared" ref="L9:L21" si="1">K9-I9</f>
        <v>499666053</v>
      </c>
      <c r="M9" s="354">
        <v>1375238753.77</v>
      </c>
      <c r="N9" s="354"/>
      <c r="O9" s="354">
        <v>1934309720</v>
      </c>
      <c r="P9" s="354"/>
      <c r="Q9" s="355">
        <f t="shared" ref="Q9:Q21" si="2">O9-M9</f>
        <v>559070966.23000002</v>
      </c>
      <c r="R9" s="354">
        <v>573916388</v>
      </c>
      <c r="S9" s="354">
        <v>1246294703</v>
      </c>
      <c r="T9" s="355">
        <f t="shared" ref="T9:T21" si="3">S9-R9</f>
        <v>672378315</v>
      </c>
      <c r="U9" s="354"/>
      <c r="V9" s="371">
        <f t="shared" si="0"/>
        <v>281421813</v>
      </c>
      <c r="W9" s="371">
        <f t="shared" ref="W9:W43" si="4">M9-O9</f>
        <v>-559070966.23000002</v>
      </c>
    </row>
    <row r="10" spans="1:27" ht="15.75" customHeight="1">
      <c r="A10" s="352" t="s">
        <v>438</v>
      </c>
      <c r="B10" s="353"/>
      <c r="C10" s="370">
        <f>'BS (3)'!C11</f>
        <v>0</v>
      </c>
      <c r="D10" s="354"/>
      <c r="E10" s="354">
        <f>'BS (3)'!E11</f>
        <v>0</v>
      </c>
      <c r="F10" s="354"/>
      <c r="G10" s="355">
        <f>E10-C10</f>
        <v>0</v>
      </c>
      <c r="H10" s="354"/>
      <c r="I10" s="354">
        <v>1314289759.9600003</v>
      </c>
      <c r="J10" s="354"/>
      <c r="K10" s="354">
        <v>1294198237</v>
      </c>
      <c r="L10" s="355">
        <f t="shared" si="1"/>
        <v>-20091522.960000277</v>
      </c>
      <c r="M10" s="354">
        <v>10037144335.629999</v>
      </c>
      <c r="N10" s="354"/>
      <c r="O10" s="354">
        <v>3743516459</v>
      </c>
      <c r="P10" s="354"/>
      <c r="Q10" s="355">
        <f t="shared" si="2"/>
        <v>-6293627876.6299992</v>
      </c>
      <c r="R10" s="354">
        <v>2335767169.79</v>
      </c>
      <c r="S10" s="354">
        <v>1892169898</v>
      </c>
      <c r="T10" s="355">
        <f t="shared" si="3"/>
        <v>-443597271.78999996</v>
      </c>
      <c r="U10" s="354"/>
      <c r="V10" s="371">
        <f t="shared" si="0"/>
        <v>0</v>
      </c>
      <c r="W10" s="371">
        <f t="shared" si="4"/>
        <v>6293627876.6299992</v>
      </c>
    </row>
    <row r="11" spans="1:27" ht="15.75" customHeight="1">
      <c r="A11" s="352" t="s">
        <v>449</v>
      </c>
      <c r="B11" s="353"/>
      <c r="C11" s="370">
        <f>'BS (3)'!C12</f>
        <v>208545971</v>
      </c>
      <c r="D11" s="354"/>
      <c r="E11" s="354">
        <f>'BS (3)'!E12</f>
        <v>161867816</v>
      </c>
      <c r="F11" s="354"/>
      <c r="G11" s="355">
        <f>E11-C11</f>
        <v>-46678155</v>
      </c>
      <c r="H11" s="354"/>
      <c r="I11" s="354">
        <v>133459745.36</v>
      </c>
      <c r="J11" s="354"/>
      <c r="K11" s="354">
        <v>97614645</v>
      </c>
      <c r="L11" s="355">
        <f>K11-I11</f>
        <v>-35845100.359999999</v>
      </c>
      <c r="M11" s="354">
        <v>308233359.50999999</v>
      </c>
      <c r="N11" s="354"/>
      <c r="O11" s="354">
        <v>237603467</v>
      </c>
      <c r="P11" s="354"/>
      <c r="Q11" s="355">
        <f>O11-M11</f>
        <v>-70629892.50999999</v>
      </c>
      <c r="R11" s="354">
        <v>206680225.36000001</v>
      </c>
      <c r="S11" s="354">
        <v>111752947</v>
      </c>
      <c r="T11" s="355">
        <f t="shared" si="3"/>
        <v>-94927278.360000014</v>
      </c>
      <c r="U11" s="354"/>
      <c r="V11" s="371">
        <f t="shared" si="0"/>
        <v>-46678155</v>
      </c>
      <c r="W11" s="371">
        <f t="shared" si="4"/>
        <v>70629892.50999999</v>
      </c>
    </row>
    <row r="12" spans="1:27" ht="15.75" customHeight="1">
      <c r="A12" s="352" t="s">
        <v>97</v>
      </c>
      <c r="B12" s="353"/>
      <c r="C12" s="370">
        <f>'BS (3)'!C13</f>
        <v>46920994906</v>
      </c>
      <c r="D12" s="354"/>
      <c r="E12" s="354">
        <f>'BS (3)'!E13</f>
        <v>47669793811</v>
      </c>
      <c r="F12" s="354"/>
      <c r="G12" s="355">
        <f>E12-C12</f>
        <v>748798905</v>
      </c>
      <c r="H12" s="354"/>
      <c r="I12" s="354">
        <v>86481707841.180023</v>
      </c>
      <c r="J12" s="354"/>
      <c r="K12" s="354">
        <v>84265992310</v>
      </c>
      <c r="L12" s="355">
        <f t="shared" si="1"/>
        <v>-2215715531.1800232</v>
      </c>
      <c r="M12" s="354">
        <v>92198439863.390976</v>
      </c>
      <c r="N12" s="354"/>
      <c r="O12" s="354">
        <v>88298471245</v>
      </c>
      <c r="P12" s="354"/>
      <c r="Q12" s="355">
        <f t="shared" si="2"/>
        <v>-3899968618.390976</v>
      </c>
      <c r="R12" s="354">
        <v>86082052508.459991</v>
      </c>
      <c r="S12" s="354">
        <v>83935185352</v>
      </c>
      <c r="T12" s="355">
        <f t="shared" si="3"/>
        <v>-2146867156.4599915</v>
      </c>
      <c r="U12" s="354"/>
      <c r="V12" s="371">
        <f t="shared" si="0"/>
        <v>748798905</v>
      </c>
      <c r="W12" s="371">
        <f t="shared" si="4"/>
        <v>3899968618.390976</v>
      </c>
      <c r="X12" s="237">
        <v>91228969959.710022</v>
      </c>
      <c r="Y12" s="237">
        <v>89246203068</v>
      </c>
      <c r="Z12" s="351">
        <f>76435957166+12810245902</f>
        <v>89246203068</v>
      </c>
      <c r="AA12" s="373">
        <f>X12-Y12</f>
        <v>1982766891.710022</v>
      </c>
    </row>
    <row r="13" spans="1:27" ht="15.75" customHeight="1">
      <c r="A13" s="352" t="s">
        <v>439</v>
      </c>
      <c r="B13" s="353"/>
      <c r="C13" s="370">
        <f>'BS (3)'!C16</f>
        <v>0</v>
      </c>
      <c r="D13" s="354"/>
      <c r="E13" s="354">
        <f>'BS (3)'!E16</f>
        <v>0</v>
      </c>
      <c r="F13" s="354"/>
      <c r="G13" s="355">
        <f t="shared" ref="G13:G16" si="5">E13-C13</f>
        <v>0</v>
      </c>
      <c r="H13" s="354"/>
      <c r="J13" s="354"/>
      <c r="K13" s="354">
        <v>0</v>
      </c>
      <c r="L13" s="355">
        <f t="shared" si="1"/>
        <v>0</v>
      </c>
      <c r="M13" s="354">
        <v>130475610</v>
      </c>
      <c r="N13" s="354"/>
      <c r="O13" s="354">
        <v>159162123</v>
      </c>
      <c r="P13" s="354"/>
      <c r="Q13" s="355">
        <f t="shared" si="2"/>
        <v>28686513</v>
      </c>
      <c r="R13" s="354">
        <v>191570323.69999999</v>
      </c>
      <c r="S13" s="354">
        <v>171038806</v>
      </c>
      <c r="T13" s="355">
        <f t="shared" si="3"/>
        <v>-20531517.699999988</v>
      </c>
      <c r="U13" s="354"/>
      <c r="V13" s="371" t="e">
        <f>E13-#REF!</f>
        <v>#REF!</v>
      </c>
      <c r="W13" s="371">
        <f t="shared" si="4"/>
        <v>-28686513</v>
      </c>
    </row>
    <row r="14" spans="1:27" ht="15.75" customHeight="1">
      <c r="A14" s="352" t="s">
        <v>440</v>
      </c>
      <c r="B14" s="353"/>
      <c r="C14" s="370">
        <f>'BS (3)'!C17</f>
        <v>874879474</v>
      </c>
      <c r="D14" s="354"/>
      <c r="E14" s="354">
        <f>'BS (3)'!E17</f>
        <v>190341900</v>
      </c>
      <c r="F14" s="354"/>
      <c r="G14" s="355">
        <f t="shared" si="5"/>
        <v>-684537574</v>
      </c>
      <c r="H14" s="354"/>
      <c r="I14" s="354">
        <v>639628252.55000007</v>
      </c>
      <c r="J14" s="354"/>
      <c r="K14" s="354">
        <v>213787897</v>
      </c>
      <c r="L14" s="355">
        <f t="shared" si="1"/>
        <v>-425840355.55000007</v>
      </c>
      <c r="M14" s="354">
        <v>1524226094</v>
      </c>
      <c r="N14" s="354"/>
      <c r="O14" s="354">
        <v>1173867485</v>
      </c>
      <c r="P14" s="354"/>
      <c r="Q14" s="355">
        <f t="shared" si="2"/>
        <v>-350358609</v>
      </c>
      <c r="R14" s="354">
        <v>639628252.55000007</v>
      </c>
      <c r="S14" s="354">
        <v>1126864130</v>
      </c>
      <c r="T14" s="355">
        <f t="shared" si="3"/>
        <v>487235877.44999993</v>
      </c>
      <c r="U14" s="354"/>
      <c r="V14" s="371">
        <f>E14-C15</f>
        <v>-4363635549</v>
      </c>
      <c r="W14" s="371">
        <f>M15-O14</f>
        <v>1364745010.3600001</v>
      </c>
    </row>
    <row r="15" spans="1:27" ht="15.75" customHeight="1">
      <c r="A15" s="352" t="s">
        <v>441</v>
      </c>
      <c r="B15" s="353"/>
      <c r="C15" s="370">
        <f>'BS (3)'!C18</f>
        <v>4553977449</v>
      </c>
      <c r="D15" s="354"/>
      <c r="E15" s="354">
        <f>'BS (3)'!E18</f>
        <v>1656468377</v>
      </c>
      <c r="F15" s="354"/>
      <c r="G15" s="355">
        <f t="shared" si="5"/>
        <v>-2897509072</v>
      </c>
      <c r="H15" s="354"/>
      <c r="I15" s="354">
        <v>210509880.26999998</v>
      </c>
      <c r="J15" s="354"/>
      <c r="K15" s="354">
        <v>649982449</v>
      </c>
      <c r="L15" s="355">
        <f t="shared" si="1"/>
        <v>439472568.73000002</v>
      </c>
      <c r="M15" s="354">
        <v>2538612495.3600001</v>
      </c>
      <c r="N15" s="354"/>
      <c r="O15" s="354">
        <v>539765951</v>
      </c>
      <c r="P15" s="354"/>
      <c r="Q15" s="355">
        <f t="shared" si="2"/>
        <v>-1998846544.3600001</v>
      </c>
      <c r="R15" s="354">
        <v>1169342132.27</v>
      </c>
      <c r="S15" s="354">
        <v>649982448.99999988</v>
      </c>
      <c r="T15" s="355">
        <f t="shared" si="3"/>
        <v>-519359683.2700001</v>
      </c>
      <c r="U15" s="354"/>
      <c r="V15" s="371">
        <f>E15-C14</f>
        <v>781588903</v>
      </c>
      <c r="W15" s="371">
        <f>M14-O15</f>
        <v>984460143</v>
      </c>
    </row>
    <row r="16" spans="1:27" s="376" customFormat="1" ht="15.75" customHeight="1">
      <c r="A16" s="352" t="s">
        <v>98</v>
      </c>
      <c r="B16" s="353"/>
      <c r="C16" s="370">
        <f>'BS (3)'!C19</f>
        <v>1875000000</v>
      </c>
      <c r="D16" s="354"/>
      <c r="E16" s="354">
        <f>'BS (3)'!E19</f>
        <v>1475000000</v>
      </c>
      <c r="F16" s="354"/>
      <c r="G16" s="355">
        <f t="shared" si="5"/>
        <v>-400000000</v>
      </c>
      <c r="H16" s="354"/>
      <c r="I16" s="354">
        <v>1475000000</v>
      </c>
      <c r="J16" s="354"/>
      <c r="K16" s="354">
        <v>1475000000.02</v>
      </c>
      <c r="L16" s="355">
        <f t="shared" si="1"/>
        <v>1.9999980926513672E-2</v>
      </c>
      <c r="M16" s="375"/>
      <c r="N16" s="375"/>
      <c r="O16" s="176">
        <v>0</v>
      </c>
      <c r="P16" s="86"/>
      <c r="Q16" s="355">
        <f t="shared" si="2"/>
        <v>0</v>
      </c>
      <c r="R16" s="176">
        <v>0</v>
      </c>
      <c r="S16" s="176">
        <v>0</v>
      </c>
      <c r="T16" s="355">
        <f t="shared" si="3"/>
        <v>0</v>
      </c>
      <c r="U16" s="176"/>
      <c r="V16" s="371">
        <f t="shared" si="0"/>
        <v>-400000000</v>
      </c>
      <c r="W16" s="371">
        <f t="shared" si="4"/>
        <v>0</v>
      </c>
    </row>
    <row r="17" spans="1:26" ht="15.75" customHeight="1">
      <c r="A17" s="352" t="s">
        <v>99</v>
      </c>
      <c r="B17" s="353"/>
      <c r="C17" s="370">
        <f>'BS (3)'!C20</f>
        <v>0</v>
      </c>
      <c r="D17" s="354"/>
      <c r="E17" s="354">
        <f>'BS (3)'!E20</f>
        <v>0</v>
      </c>
      <c r="F17" s="354"/>
      <c r="G17" s="355">
        <f t="shared" ref="G17:G21" si="6">E17-C17</f>
        <v>0</v>
      </c>
      <c r="H17" s="354"/>
      <c r="I17" s="354">
        <v>0</v>
      </c>
      <c r="J17" s="354"/>
      <c r="K17" s="354">
        <v>0</v>
      </c>
      <c r="L17" s="355">
        <f t="shared" si="1"/>
        <v>0</v>
      </c>
      <c r="M17" s="375">
        <v>0</v>
      </c>
      <c r="N17" s="354"/>
      <c r="O17" s="354">
        <v>0</v>
      </c>
      <c r="P17" s="354"/>
      <c r="Q17" s="355">
        <f t="shared" si="2"/>
        <v>0</v>
      </c>
      <c r="R17" s="354">
        <v>0</v>
      </c>
      <c r="S17" s="354">
        <v>0</v>
      </c>
      <c r="T17" s="355">
        <f t="shared" si="3"/>
        <v>0</v>
      </c>
      <c r="U17" s="354"/>
      <c r="V17" s="371">
        <f t="shared" si="0"/>
        <v>0</v>
      </c>
      <c r="W17" s="371" t="e">
        <f>#REF!-O17</f>
        <v>#REF!</v>
      </c>
    </row>
    <row r="18" spans="1:26" ht="15.75" customHeight="1">
      <c r="A18" s="352" t="s">
        <v>100</v>
      </c>
      <c r="B18" s="353"/>
      <c r="C18" s="370">
        <f>'BS (3)'!C21</f>
        <v>345137531</v>
      </c>
      <c r="D18" s="354"/>
      <c r="E18" s="354">
        <f>'BS (3)'!E21</f>
        <v>352340063</v>
      </c>
      <c r="F18" s="354"/>
      <c r="G18" s="355">
        <f t="shared" si="6"/>
        <v>7202532</v>
      </c>
      <c r="H18" s="354"/>
      <c r="I18" s="354">
        <v>347762557.97000003</v>
      </c>
      <c r="J18" s="354"/>
      <c r="K18" s="354">
        <v>347900576</v>
      </c>
      <c r="L18" s="355">
        <f t="shared" si="1"/>
        <v>138018.02999997139</v>
      </c>
      <c r="M18" s="354">
        <v>358537825.07500005</v>
      </c>
      <c r="N18" s="354"/>
      <c r="O18" s="354">
        <v>358281781</v>
      </c>
      <c r="P18" s="354"/>
      <c r="Q18" s="355">
        <f t="shared" si="2"/>
        <v>-256044.07500004768</v>
      </c>
      <c r="R18" s="354">
        <v>361415049.85000002</v>
      </c>
      <c r="S18" s="354">
        <v>350479876</v>
      </c>
      <c r="T18" s="355">
        <f t="shared" si="3"/>
        <v>-10935173.850000024</v>
      </c>
      <c r="U18" s="354"/>
      <c r="V18" s="371">
        <f t="shared" si="0"/>
        <v>7202532</v>
      </c>
      <c r="W18" s="371">
        <f t="shared" si="4"/>
        <v>256044.07500004768</v>
      </c>
    </row>
    <row r="19" spans="1:26" ht="15.75" customHeight="1">
      <c r="A19" s="352" t="s">
        <v>101</v>
      </c>
      <c r="B19" s="353"/>
      <c r="C19" s="370">
        <f>'BS (3)'!C22</f>
        <v>948429823</v>
      </c>
      <c r="D19" s="354"/>
      <c r="E19" s="354">
        <f>'BS (3)'!E22</f>
        <v>811039816</v>
      </c>
      <c r="F19" s="354"/>
      <c r="G19" s="355">
        <f>E19-C19</f>
        <v>-137390007</v>
      </c>
      <c r="H19" s="354"/>
      <c r="I19" s="354">
        <v>678389309.52999973</v>
      </c>
      <c r="J19" s="354"/>
      <c r="K19" s="354">
        <v>732394355</v>
      </c>
      <c r="L19" s="355">
        <f t="shared" si="1"/>
        <v>54005045.470000267</v>
      </c>
      <c r="M19" s="354">
        <v>2843290167.0458341</v>
      </c>
      <c r="N19" s="354"/>
      <c r="O19" s="354">
        <v>2641132617</v>
      </c>
      <c r="P19" s="354"/>
      <c r="Q19" s="355">
        <f t="shared" si="2"/>
        <v>-202157550.04583406</v>
      </c>
      <c r="R19" s="354">
        <v>2682538944.8191671</v>
      </c>
      <c r="S19" s="354">
        <v>2829083498</v>
      </c>
      <c r="T19" s="355">
        <f t="shared" si="3"/>
        <v>146544553.18083286</v>
      </c>
      <c r="U19" s="354">
        <f>Q18+Q19</f>
        <v>-202413594.12083411</v>
      </c>
      <c r="V19" s="371">
        <f t="shared" si="0"/>
        <v>-137390007</v>
      </c>
      <c r="W19" s="371">
        <f t="shared" si="4"/>
        <v>202157550.04583406</v>
      </c>
    </row>
    <row r="20" spans="1:26" ht="15.75" customHeight="1">
      <c r="A20" s="352" t="s">
        <v>179</v>
      </c>
      <c r="B20" s="353"/>
      <c r="C20" s="370">
        <f>'BS (3)'!C23</f>
        <v>55000000</v>
      </c>
      <c r="D20" s="354"/>
      <c r="E20" s="354">
        <f>'BS (3)'!E23</f>
        <v>56000000</v>
      </c>
      <c r="F20" s="354"/>
      <c r="G20" s="355">
        <f t="shared" si="6"/>
        <v>1000000</v>
      </c>
      <c r="H20" s="354"/>
      <c r="I20" s="354">
        <v>56000000</v>
      </c>
      <c r="J20" s="354"/>
      <c r="K20" s="354">
        <v>56000000</v>
      </c>
      <c r="L20" s="355">
        <f t="shared" si="1"/>
        <v>0</v>
      </c>
      <c r="M20" s="354">
        <v>0</v>
      </c>
      <c r="N20" s="354"/>
      <c r="O20" s="354">
        <v>0</v>
      </c>
      <c r="P20" s="354"/>
      <c r="Q20" s="355">
        <f t="shared" si="2"/>
        <v>0</v>
      </c>
      <c r="R20" s="354">
        <v>0</v>
      </c>
      <c r="S20" s="354">
        <v>0</v>
      </c>
      <c r="T20" s="355">
        <f t="shared" si="3"/>
        <v>0</v>
      </c>
      <c r="U20" s="354">
        <f>O18+O19</f>
        <v>2999414398</v>
      </c>
      <c r="V20" s="371">
        <f t="shared" si="0"/>
        <v>1000000</v>
      </c>
      <c r="W20" s="371">
        <f t="shared" si="4"/>
        <v>0</v>
      </c>
    </row>
    <row r="21" spans="1:26" s="377" customFormat="1" ht="15.75" customHeight="1">
      <c r="A21" s="352" t="s">
        <v>102</v>
      </c>
      <c r="B21" s="353"/>
      <c r="C21" s="370">
        <f>'BS (3)'!C24</f>
        <v>1429692704</v>
      </c>
      <c r="D21" s="354"/>
      <c r="E21" s="354">
        <f>'BS (3)'!E24</f>
        <v>977532704</v>
      </c>
      <c r="F21" s="354"/>
      <c r="G21" s="355">
        <f t="shared" si="6"/>
        <v>-452160000</v>
      </c>
      <c r="H21" s="354"/>
      <c r="I21" s="354"/>
      <c r="J21" s="354"/>
      <c r="K21" s="354">
        <v>25358032</v>
      </c>
      <c r="L21" s="355">
        <f t="shared" si="1"/>
        <v>25358032</v>
      </c>
      <c r="M21" s="354">
        <v>3859334</v>
      </c>
      <c r="N21" s="354"/>
      <c r="O21" s="354">
        <v>0</v>
      </c>
      <c r="P21" s="354"/>
      <c r="Q21" s="355">
        <f t="shared" si="2"/>
        <v>-3859334</v>
      </c>
      <c r="R21" s="354">
        <v>0</v>
      </c>
      <c r="S21" s="354">
        <v>842914</v>
      </c>
      <c r="T21" s="355">
        <f t="shared" si="3"/>
        <v>842914</v>
      </c>
      <c r="U21" s="354"/>
      <c r="V21" s="371">
        <f t="shared" si="0"/>
        <v>-452160000</v>
      </c>
      <c r="W21" s="371">
        <f t="shared" si="4"/>
        <v>3859334</v>
      </c>
    </row>
    <row r="22" spans="1:26" s="383" customFormat="1" ht="15.75" customHeight="1" thickBot="1">
      <c r="A22" s="359" t="s">
        <v>103</v>
      </c>
      <c r="B22" s="378"/>
      <c r="C22" s="379">
        <f>SUM(C8:C21)</f>
        <v>62770812405</v>
      </c>
      <c r="D22" s="380"/>
      <c r="E22" s="381">
        <f>SUM(E8:E21)</f>
        <v>56340905547</v>
      </c>
      <c r="F22" s="380"/>
      <c r="G22" s="355"/>
      <c r="H22" s="380"/>
      <c r="I22" s="380">
        <f>SUM(I8:I21)</f>
        <v>92249492115.670029</v>
      </c>
      <c r="J22" s="380"/>
      <c r="K22" s="380">
        <v>92407127114.710007</v>
      </c>
      <c r="L22" s="382"/>
      <c r="M22" s="381">
        <f>SUM(M8:M21)</f>
        <v>111631071187.35181</v>
      </c>
      <c r="N22" s="380"/>
      <c r="O22" s="381">
        <f>SUM(O8:O21)</f>
        <v>99605834933</v>
      </c>
      <c r="P22" s="380"/>
      <c r="Q22" s="355"/>
      <c r="R22" s="381">
        <f>SUM(R8:R21)</f>
        <v>94725673891.879166</v>
      </c>
      <c r="S22" s="381">
        <v>95162738950</v>
      </c>
      <c r="T22" s="382"/>
      <c r="U22" s="380"/>
      <c r="V22" s="371">
        <f t="shared" si="0"/>
        <v>-6429906858</v>
      </c>
      <c r="W22" s="371">
        <f t="shared" si="4"/>
        <v>12025236254.351807</v>
      </c>
    </row>
    <row r="23" spans="1:26" ht="15.75" customHeight="1" thickTop="1">
      <c r="A23" s="352"/>
      <c r="B23" s="353"/>
      <c r="C23" s="370"/>
      <c r="D23" s="354"/>
      <c r="E23" s="354"/>
      <c r="F23" s="354"/>
      <c r="G23" s="355"/>
      <c r="H23" s="354"/>
      <c r="I23" s="354"/>
      <c r="J23" s="354"/>
      <c r="K23" s="354">
        <v>0</v>
      </c>
      <c r="L23" s="355"/>
      <c r="M23" s="354"/>
      <c r="N23" s="354"/>
      <c r="O23" s="354"/>
      <c r="P23" s="354"/>
      <c r="Q23" s="355"/>
      <c r="R23" s="354"/>
      <c r="S23" s="354"/>
      <c r="T23" s="355"/>
      <c r="U23" s="354"/>
      <c r="V23" s="371">
        <f t="shared" si="0"/>
        <v>0</v>
      </c>
      <c r="W23" s="371">
        <f t="shared" si="4"/>
        <v>0</v>
      </c>
    </row>
    <row r="24" spans="1:26" s="383" customFormat="1" ht="15.75" customHeight="1">
      <c r="A24" s="359" t="s">
        <v>104</v>
      </c>
      <c r="B24" s="378"/>
      <c r="C24" s="384"/>
      <c r="D24" s="380"/>
      <c r="E24" s="380"/>
      <c r="F24" s="380"/>
      <c r="G24" s="355"/>
      <c r="H24" s="380"/>
      <c r="I24" s="380"/>
      <c r="J24" s="380"/>
      <c r="K24" s="380">
        <v>0</v>
      </c>
      <c r="L24" s="382"/>
      <c r="M24" s="380"/>
      <c r="N24" s="380"/>
      <c r="O24" s="380"/>
      <c r="P24" s="380"/>
      <c r="Q24" s="355"/>
      <c r="R24" s="380"/>
      <c r="S24" s="380"/>
      <c r="T24" s="382"/>
      <c r="U24" s="380"/>
      <c r="V24" s="371">
        <f t="shared" si="0"/>
        <v>0</v>
      </c>
      <c r="W24" s="371">
        <f t="shared" si="4"/>
        <v>0</v>
      </c>
    </row>
    <row r="25" spans="1:26" s="376" customFormat="1" ht="15.75" customHeight="1">
      <c r="A25" s="385" t="s">
        <v>442</v>
      </c>
      <c r="B25" s="353"/>
      <c r="C25" s="370">
        <v>89163556482.839951</v>
      </c>
      <c r="D25" s="354"/>
      <c r="E25" s="354">
        <f>78094270998+57712094</f>
        <v>78151983092</v>
      </c>
      <c r="F25" s="354"/>
      <c r="G25" s="355">
        <f>C25-E25</f>
        <v>11011573390.839951</v>
      </c>
      <c r="H25" s="354"/>
      <c r="I25" s="354">
        <v>75097721707.409973</v>
      </c>
      <c r="J25" s="354"/>
      <c r="K25" s="354">
        <v>74249647481.169998</v>
      </c>
      <c r="L25" s="355">
        <f>I25-K25</f>
        <v>848074226.23997498</v>
      </c>
      <c r="M25" s="354">
        <v>90352455492.969925</v>
      </c>
      <c r="N25" s="354"/>
      <c r="O25" s="354">
        <f>79297914974+724897</f>
        <v>79298639871</v>
      </c>
      <c r="P25" s="354"/>
      <c r="Q25" s="355">
        <f>M25-O25</f>
        <v>11053815621.969925</v>
      </c>
      <c r="R25" s="354">
        <v>75966567256.119965</v>
      </c>
      <c r="S25" s="354">
        <v>75170576071</v>
      </c>
      <c r="T25" s="355">
        <f>R25-S25</f>
        <v>795991185.1199646</v>
      </c>
      <c r="U25" s="354"/>
      <c r="V25" s="371">
        <f t="shared" si="0"/>
        <v>-11011573390.839951</v>
      </c>
      <c r="W25" s="371">
        <f t="shared" si="4"/>
        <v>11053815621.969925</v>
      </c>
      <c r="X25" s="98">
        <v>68755815149.209946</v>
      </c>
      <c r="Y25" s="98">
        <f>22921160664+10878434017+12202921982+6830482112+2845086563+847384520-53921192+12016189639</f>
        <v>68487738305</v>
      </c>
      <c r="Z25" s="386">
        <f>X25-Y25</f>
        <v>268076844.20994568</v>
      </c>
    </row>
    <row r="26" spans="1:26" s="376" customFormat="1" ht="15.75" customHeight="1">
      <c r="A26" s="385" t="s">
        <v>443</v>
      </c>
      <c r="B26" s="353"/>
      <c r="C26" s="370"/>
      <c r="D26" s="354"/>
      <c r="E26" s="354"/>
      <c r="F26" s="354"/>
      <c r="G26" s="355"/>
      <c r="H26" s="354"/>
      <c r="I26" s="354"/>
      <c r="J26" s="354"/>
      <c r="K26" s="354"/>
      <c r="L26" s="355"/>
      <c r="M26" s="354"/>
      <c r="N26" s="354"/>
      <c r="O26" s="354"/>
      <c r="P26" s="354"/>
      <c r="Q26" s="355"/>
      <c r="R26" s="354"/>
      <c r="S26" s="354"/>
      <c r="T26" s="355"/>
      <c r="U26" s="354"/>
      <c r="V26" s="371"/>
      <c r="W26" s="371"/>
      <c r="X26" s="98"/>
      <c r="Y26" s="98"/>
      <c r="Z26" s="386"/>
    </row>
    <row r="27" spans="1:26" s="376" customFormat="1" ht="15.75" customHeight="1">
      <c r="A27" s="385" t="s">
        <v>444</v>
      </c>
      <c r="B27" s="353"/>
      <c r="C27" s="370"/>
      <c r="D27" s="354"/>
      <c r="E27" s="354"/>
      <c r="F27" s="354"/>
      <c r="G27" s="355"/>
      <c r="H27" s="354"/>
      <c r="I27" s="354"/>
      <c r="J27" s="354"/>
      <c r="K27" s="354"/>
      <c r="L27" s="355"/>
      <c r="M27" s="354"/>
      <c r="N27" s="354"/>
      <c r="O27" s="354"/>
      <c r="P27" s="354"/>
      <c r="Q27" s="355"/>
      <c r="R27" s="354"/>
      <c r="S27" s="354"/>
      <c r="T27" s="355"/>
      <c r="U27" s="354"/>
      <c r="V27" s="371"/>
      <c r="W27" s="371"/>
      <c r="X27" s="98"/>
      <c r="Y27" s="98"/>
      <c r="Z27" s="386"/>
    </row>
    <row r="28" spans="1:26" s="376" customFormat="1" ht="15.75" customHeight="1">
      <c r="A28" s="385" t="s">
        <v>445</v>
      </c>
      <c r="B28" s="353"/>
      <c r="C28" s="370"/>
      <c r="D28" s="354"/>
      <c r="E28" s="354"/>
      <c r="F28" s="354"/>
      <c r="G28" s="355"/>
      <c r="H28" s="354"/>
      <c r="I28" s="354"/>
      <c r="J28" s="354"/>
      <c r="K28" s="354"/>
      <c r="L28" s="355"/>
      <c r="M28" s="354"/>
      <c r="N28" s="354"/>
      <c r="O28" s="354"/>
      <c r="P28" s="354"/>
      <c r="Q28" s="355"/>
      <c r="R28" s="354"/>
      <c r="S28" s="354"/>
      <c r="T28" s="355"/>
      <c r="U28" s="354"/>
      <c r="V28" s="371"/>
      <c r="W28" s="371"/>
      <c r="X28" s="98"/>
      <c r="Y28" s="98"/>
      <c r="Z28" s="386"/>
    </row>
    <row r="29" spans="1:26" s="376" customFormat="1" ht="15.75" customHeight="1">
      <c r="A29" s="385" t="s">
        <v>446</v>
      </c>
      <c r="B29" s="353"/>
      <c r="C29" s="370"/>
      <c r="D29" s="354"/>
      <c r="E29" s="354"/>
      <c r="F29" s="354"/>
      <c r="G29" s="355"/>
      <c r="H29" s="354"/>
      <c r="I29" s="354"/>
      <c r="J29" s="354"/>
      <c r="K29" s="354"/>
      <c r="L29" s="355"/>
      <c r="M29" s="354"/>
      <c r="N29" s="354"/>
      <c r="O29" s="354"/>
      <c r="P29" s="354"/>
      <c r="Q29" s="355"/>
      <c r="R29" s="354"/>
      <c r="S29" s="354"/>
      <c r="T29" s="355"/>
      <c r="U29" s="354"/>
      <c r="V29" s="371"/>
      <c r="W29" s="371"/>
      <c r="X29" s="98"/>
      <c r="Y29" s="98"/>
      <c r="Z29" s="386"/>
    </row>
    <row r="30" spans="1:26" s="376" customFormat="1" ht="15.75" customHeight="1">
      <c r="A30" s="385" t="s">
        <v>105</v>
      </c>
      <c r="B30" s="353"/>
      <c r="C30" s="370"/>
      <c r="D30" s="354"/>
      <c r="E30" s="354"/>
      <c r="F30" s="354"/>
      <c r="G30" s="355"/>
      <c r="H30" s="354"/>
      <c r="I30" s="354"/>
      <c r="J30" s="354"/>
      <c r="K30" s="354"/>
      <c r="L30" s="355"/>
      <c r="M30" s="354"/>
      <c r="N30" s="354"/>
      <c r="O30" s="354"/>
      <c r="P30" s="354"/>
      <c r="Q30" s="355"/>
      <c r="R30" s="354"/>
      <c r="S30" s="354"/>
      <c r="T30" s="355"/>
      <c r="U30" s="354"/>
      <c r="V30" s="371"/>
      <c r="W30" s="371"/>
      <c r="X30" s="98"/>
      <c r="Y30" s="98"/>
      <c r="Z30" s="386"/>
    </row>
    <row r="31" spans="1:26" ht="15.75" customHeight="1">
      <c r="A31" s="352" t="s">
        <v>106</v>
      </c>
      <c r="B31" s="353"/>
      <c r="C31" s="370">
        <v>0</v>
      </c>
      <c r="D31" s="354"/>
      <c r="E31" s="354">
        <v>0</v>
      </c>
      <c r="F31" s="354"/>
      <c r="G31" s="355">
        <f t="shared" ref="G31" si="7">C31-E31</f>
        <v>0</v>
      </c>
      <c r="H31" s="354"/>
      <c r="I31" s="354">
        <v>0</v>
      </c>
      <c r="J31" s="354"/>
      <c r="K31" s="354">
        <v>0</v>
      </c>
      <c r="L31" s="355">
        <f t="shared" ref="L31:L32" si="8">I31-K31</f>
        <v>0</v>
      </c>
      <c r="M31" s="354">
        <v>2420651822</v>
      </c>
      <c r="N31" s="354"/>
      <c r="O31" s="354">
        <v>2216941297</v>
      </c>
      <c r="P31" s="354"/>
      <c r="Q31" s="355">
        <f t="shared" ref="Q31:Q32" si="9">M31-O31</f>
        <v>203710525</v>
      </c>
      <c r="R31" s="354">
        <v>1744537816</v>
      </c>
      <c r="S31" s="354">
        <v>1796553762</v>
      </c>
      <c r="T31" s="355">
        <f t="shared" ref="T31:T32" si="10">R31-S31</f>
        <v>-52015946</v>
      </c>
      <c r="U31" s="354"/>
      <c r="V31" s="371">
        <f t="shared" si="0"/>
        <v>0</v>
      </c>
      <c r="W31" s="371">
        <f t="shared" si="4"/>
        <v>203710525</v>
      </c>
    </row>
    <row r="32" spans="1:26" ht="15.75" customHeight="1">
      <c r="A32" s="352" t="s">
        <v>107</v>
      </c>
      <c r="B32" s="353"/>
      <c r="C32" s="370">
        <v>710903862.5200001</v>
      </c>
      <c r="D32" s="93"/>
      <c r="E32" s="354">
        <v>39914796</v>
      </c>
      <c r="F32" s="354"/>
      <c r="G32" s="355">
        <f>C32-E32</f>
        <v>670989066.5200001</v>
      </c>
      <c r="H32" s="354"/>
      <c r="I32" s="354">
        <v>239039484.03</v>
      </c>
      <c r="J32" s="354"/>
      <c r="K32" s="354">
        <v>250464104</v>
      </c>
      <c r="L32" s="355">
        <f t="shared" si="8"/>
        <v>-11424619.969999999</v>
      </c>
      <c r="M32" s="354">
        <v>793261621.8900001</v>
      </c>
      <c r="N32" s="354"/>
      <c r="O32" s="354">
        <v>85759294</v>
      </c>
      <c r="P32" s="354"/>
      <c r="Q32" s="355">
        <f t="shared" si="9"/>
        <v>707502327.8900001</v>
      </c>
      <c r="R32" s="354">
        <v>336784506.03000003</v>
      </c>
      <c r="S32" s="354">
        <v>251070759</v>
      </c>
      <c r="T32" s="355">
        <f t="shared" si="10"/>
        <v>85713747.030000031</v>
      </c>
      <c r="U32" s="354"/>
      <c r="V32" s="371">
        <f t="shared" si="0"/>
        <v>-670989066.5200001</v>
      </c>
      <c r="W32" s="371">
        <f t="shared" si="4"/>
        <v>707502327.8900001</v>
      </c>
    </row>
    <row r="33" spans="1:28" ht="15.75" customHeight="1">
      <c r="A33" s="359" t="s">
        <v>108</v>
      </c>
      <c r="B33" s="378"/>
      <c r="C33" s="387">
        <f>SUM(C25:C32)</f>
        <v>89874460345.359955</v>
      </c>
      <c r="D33" s="380"/>
      <c r="E33" s="388">
        <f>SUM(E25:E32)</f>
        <v>78191897888</v>
      </c>
      <c r="F33" s="380"/>
      <c r="G33" s="355"/>
      <c r="H33" s="380"/>
      <c r="I33" s="380">
        <f>SUM(I25:I32)</f>
        <v>75336761191.439972</v>
      </c>
      <c r="J33" s="380"/>
      <c r="K33" s="380">
        <v>75218381573.860001</v>
      </c>
      <c r="L33" s="382"/>
      <c r="M33" s="388">
        <f>SUM(M25:M32)</f>
        <v>93566368936.859924</v>
      </c>
      <c r="N33" s="380"/>
      <c r="O33" s="388">
        <f>SUM(O25:O32)</f>
        <v>81601340462</v>
      </c>
      <c r="P33" s="380"/>
      <c r="Q33" s="355"/>
      <c r="R33" s="388">
        <f>SUM(R25:R32)</f>
        <v>78047889578.149963</v>
      </c>
      <c r="S33" s="388">
        <v>77945844397</v>
      </c>
      <c r="T33" s="382"/>
      <c r="U33" s="380"/>
      <c r="V33" s="371">
        <f t="shared" si="0"/>
        <v>-11682562457.359955</v>
      </c>
      <c r="W33" s="371">
        <f t="shared" si="4"/>
        <v>11965028474.859924</v>
      </c>
    </row>
    <row r="34" spans="1:28" ht="15.75" customHeight="1">
      <c r="A34" s="359"/>
      <c r="B34" s="378"/>
      <c r="C34" s="384"/>
      <c r="D34" s="380"/>
      <c r="E34" s="380"/>
      <c r="F34" s="380"/>
      <c r="G34" s="355"/>
      <c r="H34" s="380"/>
      <c r="I34" s="380"/>
      <c r="J34" s="380"/>
      <c r="K34" s="380"/>
      <c r="L34" s="382"/>
      <c r="M34" s="380"/>
      <c r="N34" s="380"/>
      <c r="O34" s="380"/>
      <c r="P34" s="380"/>
      <c r="Q34" s="355"/>
      <c r="R34" s="380"/>
      <c r="S34" s="380"/>
      <c r="T34" s="382"/>
      <c r="U34" s="380"/>
      <c r="V34" s="371">
        <f t="shared" si="0"/>
        <v>0</v>
      </c>
      <c r="W34" s="371">
        <f t="shared" si="4"/>
        <v>0</v>
      </c>
    </row>
    <row r="35" spans="1:28" s="383" customFormat="1" ht="15.75" customHeight="1">
      <c r="A35" s="359" t="s">
        <v>109</v>
      </c>
      <c r="B35" s="378"/>
      <c r="C35" s="384"/>
      <c r="D35" s="380"/>
      <c r="E35" s="380"/>
      <c r="F35" s="380"/>
      <c r="G35" s="355"/>
      <c r="H35" s="380"/>
      <c r="I35" s="380"/>
      <c r="J35" s="380"/>
      <c r="K35" s="380"/>
      <c r="L35" s="382"/>
      <c r="M35" s="380"/>
      <c r="N35" s="380"/>
      <c r="O35" s="380"/>
      <c r="P35" s="380"/>
      <c r="Q35" s="355"/>
      <c r="R35" s="380"/>
      <c r="S35" s="380"/>
      <c r="T35" s="382"/>
      <c r="U35" s="380"/>
      <c r="V35" s="371">
        <f t="shared" si="0"/>
        <v>0</v>
      </c>
      <c r="W35" s="371">
        <f t="shared" si="4"/>
        <v>0</v>
      </c>
    </row>
    <row r="36" spans="1:28" s="376" customFormat="1" ht="15.75" customHeight="1">
      <c r="A36" s="352" t="s">
        <v>180</v>
      </c>
      <c r="B36" s="353"/>
      <c r="C36" s="370">
        <v>12686073308.209999</v>
      </c>
      <c r="D36" s="354"/>
      <c r="E36" s="354">
        <v>12536073308.17</v>
      </c>
      <c r="F36" s="354"/>
      <c r="G36" s="355">
        <f t="shared" ref="G36:G39" si="11">C36-E36</f>
        <v>150000000.03999901</v>
      </c>
      <c r="H36" s="354"/>
      <c r="I36" s="354">
        <v>12208000800</v>
      </c>
      <c r="J36" s="354"/>
      <c r="K36" s="354">
        <v>12058000800</v>
      </c>
      <c r="L36" s="355">
        <f t="shared" ref="L36:L39" si="12">I36-K36</f>
        <v>150000000</v>
      </c>
      <c r="M36" s="354">
        <v>12686073308.209999</v>
      </c>
      <c r="N36" s="354"/>
      <c r="O36" s="354">
        <v>12536073308.17</v>
      </c>
      <c r="P36" s="354"/>
      <c r="Q36" s="355">
        <f t="shared" ref="Q36:Q39" si="13">M36-O36</f>
        <v>150000000.03999901</v>
      </c>
      <c r="R36" s="354">
        <v>12208000800</v>
      </c>
      <c r="S36" s="354">
        <v>12058000800</v>
      </c>
      <c r="T36" s="355">
        <f t="shared" ref="T36:T39" si="14">R36-S36</f>
        <v>150000000</v>
      </c>
      <c r="U36" s="354"/>
      <c r="V36" s="371">
        <f t="shared" si="0"/>
        <v>-150000000.03999901</v>
      </c>
      <c r="W36" s="371">
        <f t="shared" si="4"/>
        <v>150000000.03999901</v>
      </c>
      <c r="X36" s="358"/>
      <c r="Z36" s="358"/>
      <c r="AA36" s="358"/>
      <c r="AB36" s="358"/>
    </row>
    <row r="37" spans="1:28" ht="15.75" customHeight="1">
      <c r="A37" s="352" t="s">
        <v>110</v>
      </c>
      <c r="B37" s="353"/>
      <c r="C37" s="370">
        <v>970336662.76999998</v>
      </c>
      <c r="D37" s="354"/>
      <c r="E37" s="354">
        <v>860280276</v>
      </c>
      <c r="F37" s="354"/>
      <c r="G37" s="355">
        <f t="shared" si="11"/>
        <v>110056386.76999998</v>
      </c>
      <c r="H37" s="354"/>
      <c r="I37" s="354">
        <v>797014841.63999999</v>
      </c>
      <c r="J37" s="354"/>
      <c r="K37" s="354">
        <v>659361626</v>
      </c>
      <c r="L37" s="355">
        <f t="shared" si="12"/>
        <v>137653215.63999999</v>
      </c>
      <c r="M37" s="354">
        <v>970336662.76999998</v>
      </c>
      <c r="N37" s="354"/>
      <c r="O37" s="354">
        <v>860280276</v>
      </c>
      <c r="P37" s="354"/>
      <c r="Q37" s="355">
        <f t="shared" si="13"/>
        <v>110056386.76999998</v>
      </c>
      <c r="R37" s="354">
        <v>797014841.63999999</v>
      </c>
      <c r="S37" s="354">
        <v>659361626</v>
      </c>
      <c r="T37" s="355">
        <f t="shared" si="14"/>
        <v>137653215.63999999</v>
      </c>
      <c r="U37" s="354"/>
      <c r="V37" s="371">
        <f t="shared" si="0"/>
        <v>-110056386.76999998</v>
      </c>
      <c r="W37" s="371">
        <f t="shared" si="4"/>
        <v>110056386.76999998</v>
      </c>
      <c r="X37" s="389"/>
      <c r="Z37" s="389"/>
      <c r="AA37" s="389"/>
      <c r="AB37" s="389"/>
    </row>
    <row r="38" spans="1:28" ht="15.75" customHeight="1">
      <c r="A38" s="352" t="s">
        <v>111</v>
      </c>
      <c r="B38" s="353"/>
      <c r="C38" s="370">
        <v>3251994273.094655</v>
      </c>
      <c r="D38" s="354"/>
      <c r="E38" s="354">
        <v>3482585244</v>
      </c>
      <c r="F38" s="354"/>
      <c r="G38" s="355">
        <f t="shared" si="11"/>
        <v>-230590970.90534496</v>
      </c>
      <c r="H38" s="354"/>
      <c r="I38" s="354">
        <v>2879111037.8195748</v>
      </c>
      <c r="J38" s="354"/>
      <c r="K38" s="354">
        <v>3619575951.5185633</v>
      </c>
      <c r="L38" s="355">
        <f t="shared" si="12"/>
        <v>-740464913.69898844</v>
      </c>
      <c r="M38" s="354">
        <v>3594574894.3904877</v>
      </c>
      <c r="N38" s="354"/>
      <c r="O38" s="354">
        <v>3721453658</v>
      </c>
      <c r="P38" s="354"/>
      <c r="Q38" s="355">
        <f t="shared" si="13"/>
        <v>-126878763.60951233</v>
      </c>
      <c r="R38" s="354">
        <v>2964712075.7810898</v>
      </c>
      <c r="S38" s="354">
        <v>3443771661</v>
      </c>
      <c r="T38" s="355">
        <f t="shared" si="14"/>
        <v>-479059585.21891022</v>
      </c>
      <c r="U38" s="354"/>
      <c r="V38" s="371">
        <f t="shared" si="0"/>
        <v>230590970.90534496</v>
      </c>
      <c r="W38" s="371">
        <f t="shared" si="4"/>
        <v>-126878763.60951233</v>
      </c>
      <c r="X38" s="389"/>
      <c r="Z38" s="389"/>
      <c r="AA38" s="389"/>
      <c r="AB38" s="389"/>
    </row>
    <row r="39" spans="1:28" ht="15.75" customHeight="1">
      <c r="A39" s="352" t="s">
        <v>112</v>
      </c>
      <c r="B39" s="353"/>
      <c r="C39" s="390">
        <v>1319602863.4099998</v>
      </c>
      <c r="D39" s="354"/>
      <c r="E39" s="391">
        <v>1130756526</v>
      </c>
      <c r="F39" s="354"/>
      <c r="G39" s="355">
        <f t="shared" si="11"/>
        <v>188846337.40999985</v>
      </c>
      <c r="H39" s="354"/>
      <c r="I39" s="391">
        <v>1113965691.1199999</v>
      </c>
      <c r="J39" s="354"/>
      <c r="K39" s="391">
        <v>851807163</v>
      </c>
      <c r="L39" s="355">
        <f t="shared" si="12"/>
        <v>262158528.11999989</v>
      </c>
      <c r="M39" s="391">
        <v>1321574045.4099998</v>
      </c>
      <c r="N39" s="354"/>
      <c r="O39" s="391">
        <v>1132436192</v>
      </c>
      <c r="P39" s="354"/>
      <c r="Q39" s="355">
        <f t="shared" si="13"/>
        <v>189137853.40999985</v>
      </c>
      <c r="R39" s="391">
        <v>1110384732.1199999</v>
      </c>
      <c r="S39" s="391">
        <v>848226204</v>
      </c>
      <c r="T39" s="355">
        <f t="shared" si="14"/>
        <v>262158528.11999989</v>
      </c>
      <c r="U39" s="354"/>
      <c r="V39" s="371">
        <f t="shared" si="0"/>
        <v>-188846337.40999985</v>
      </c>
      <c r="W39" s="371">
        <f t="shared" si="4"/>
        <v>189137853.40999985</v>
      </c>
      <c r="X39" s="389"/>
      <c r="Z39" s="389"/>
      <c r="AA39" s="389"/>
      <c r="AB39" s="389"/>
    </row>
    <row r="40" spans="1:28" ht="15.75" customHeight="1">
      <c r="A40" s="352" t="s">
        <v>208</v>
      </c>
      <c r="B40" s="353"/>
      <c r="C40" s="370">
        <f>SUM(C36:C39)</f>
        <v>18228007107.484653</v>
      </c>
      <c r="D40" s="354"/>
      <c r="E40" s="354">
        <f>SUM(E36:E39)</f>
        <v>18009695354.169998</v>
      </c>
      <c r="F40" s="354"/>
      <c r="G40" s="355"/>
      <c r="H40" s="354"/>
      <c r="I40" s="354">
        <f>SUM(I36:I39)</f>
        <v>16998092370.579575</v>
      </c>
      <c r="J40" s="354"/>
      <c r="K40" s="354">
        <v>17188745540.518562</v>
      </c>
      <c r="L40" s="354"/>
      <c r="M40" s="354">
        <f>SUM(M36:M39)</f>
        <v>18572558910.780487</v>
      </c>
      <c r="N40" s="354"/>
      <c r="O40" s="354">
        <f>SUM(O36:O39)</f>
        <v>18250243434.169998</v>
      </c>
      <c r="P40" s="354"/>
      <c r="Q40" s="355"/>
      <c r="R40" s="354">
        <f>SUM(R36:R39)</f>
        <v>17080112449.541088</v>
      </c>
      <c r="S40" s="354">
        <v>17009360291</v>
      </c>
      <c r="T40" s="355"/>
      <c r="U40" s="354"/>
      <c r="V40" s="371">
        <f t="shared" si="0"/>
        <v>-218311753.3146553</v>
      </c>
      <c r="W40" s="371">
        <f t="shared" si="4"/>
        <v>322315476.61048889</v>
      </c>
      <c r="X40" s="389"/>
      <c r="Z40" s="389"/>
      <c r="AA40" s="389"/>
      <c r="AB40" s="389"/>
    </row>
    <row r="41" spans="1:28" ht="15.75" customHeight="1">
      <c r="A41" s="352" t="s">
        <v>209</v>
      </c>
      <c r="B41" s="353"/>
      <c r="C41" s="370"/>
      <c r="D41" s="354"/>
      <c r="E41" s="354">
        <v>0</v>
      </c>
      <c r="F41" s="354"/>
      <c r="G41" s="355"/>
      <c r="H41" s="354"/>
      <c r="I41" s="354"/>
      <c r="J41" s="354"/>
      <c r="K41" s="354"/>
      <c r="L41" s="354"/>
      <c r="M41" s="354"/>
      <c r="N41" s="354"/>
      <c r="O41" s="354"/>
      <c r="P41" s="354"/>
      <c r="Q41" s="355"/>
      <c r="R41" s="354"/>
      <c r="S41" s="354">
        <v>207534262</v>
      </c>
      <c r="T41" s="355">
        <f t="shared" ref="T41" si="15">R41-S41</f>
        <v>-207534262</v>
      </c>
      <c r="U41" s="354"/>
      <c r="V41" s="371">
        <f t="shared" si="0"/>
        <v>0</v>
      </c>
      <c r="W41" s="371">
        <f t="shared" si="4"/>
        <v>0</v>
      </c>
      <c r="X41" s="389"/>
      <c r="Z41" s="389"/>
      <c r="AA41" s="389"/>
      <c r="AB41" s="389"/>
    </row>
    <row r="42" spans="1:28" s="383" customFormat="1" ht="15.75" customHeight="1">
      <c r="A42" s="359" t="s">
        <v>113</v>
      </c>
      <c r="B42" s="378"/>
      <c r="C42" s="387">
        <f>SUM(C40)</f>
        <v>18228007107.484653</v>
      </c>
      <c r="D42" s="380"/>
      <c r="E42" s="388">
        <f>SUM(E40:E41)</f>
        <v>18009695354.169998</v>
      </c>
      <c r="F42" s="380"/>
      <c r="G42" s="355"/>
      <c r="H42" s="380"/>
      <c r="I42" s="387">
        <f>SUM(I40)</f>
        <v>16998092370.579575</v>
      </c>
      <c r="J42" s="380"/>
      <c r="K42" s="380">
        <v>17188745540.518562</v>
      </c>
      <c r="L42" s="380"/>
      <c r="M42" s="388">
        <f>SUM(M40:M41)</f>
        <v>18572558910.780487</v>
      </c>
      <c r="N42" s="380"/>
      <c r="O42" s="388">
        <f>SUM(O40:O41)</f>
        <v>18250243434.169998</v>
      </c>
      <c r="P42" s="380"/>
      <c r="Q42" s="355"/>
      <c r="R42" s="388">
        <f>SUM(R40:R41)</f>
        <v>17080112449.541088</v>
      </c>
      <c r="S42" s="388">
        <v>17216894553</v>
      </c>
      <c r="T42" s="382"/>
      <c r="U42" s="380"/>
      <c r="V42" s="371">
        <f t="shared" si="0"/>
        <v>-218311753.3146553</v>
      </c>
      <c r="W42" s="371">
        <f t="shared" si="4"/>
        <v>322315476.61048889</v>
      </c>
    </row>
    <row r="43" spans="1:28" s="383" customFormat="1" ht="15.75" customHeight="1" thickBot="1">
      <c r="A43" s="359" t="s">
        <v>181</v>
      </c>
      <c r="B43" s="378"/>
      <c r="C43" s="379">
        <f>C33+C42</f>
        <v>108102467452.8446</v>
      </c>
      <c r="D43" s="380"/>
      <c r="E43" s="381">
        <f>E33+E42</f>
        <v>96201593242.169998</v>
      </c>
      <c r="F43" s="380"/>
      <c r="G43" s="355"/>
      <c r="H43" s="380"/>
      <c r="I43" s="379">
        <f>I33+I42</f>
        <v>92334853562.019547</v>
      </c>
      <c r="J43" s="380"/>
      <c r="K43" s="380">
        <v>92407127114.378571</v>
      </c>
      <c r="L43" s="380"/>
      <c r="M43" s="381">
        <f>M33+M42</f>
        <v>112138927847.64041</v>
      </c>
      <c r="N43" s="380"/>
      <c r="O43" s="381">
        <f>O33+O42</f>
        <v>99851583896.169998</v>
      </c>
      <c r="P43" s="380"/>
      <c r="Q43" s="355"/>
      <c r="R43" s="381">
        <f>R33+R42</f>
        <v>95128002027.691055</v>
      </c>
      <c r="S43" s="381">
        <v>95162738950</v>
      </c>
      <c r="T43" s="382"/>
      <c r="U43" s="380"/>
      <c r="V43" s="371">
        <f t="shared" si="0"/>
        <v>-11900874210.674606</v>
      </c>
      <c r="W43" s="371">
        <f t="shared" si="4"/>
        <v>12287343951.470413</v>
      </c>
    </row>
    <row r="44" spans="1:28" s="396" customFormat="1" ht="15.75" customHeight="1" thickTop="1">
      <c r="A44" s="392"/>
      <c r="B44" s="393"/>
      <c r="C44" s="394"/>
      <c r="D44" s="395"/>
      <c r="E44" s="395"/>
      <c r="F44" s="395"/>
      <c r="G44" s="355"/>
      <c r="H44" s="395"/>
      <c r="I44" s="395"/>
      <c r="J44" s="395"/>
      <c r="K44" s="395"/>
      <c r="L44" s="395"/>
      <c r="M44" s="395"/>
      <c r="N44" s="395"/>
      <c r="O44" s="395"/>
      <c r="P44" s="395"/>
      <c r="Q44" s="355"/>
      <c r="R44" s="354"/>
      <c r="S44" s="354"/>
      <c r="T44" s="354"/>
      <c r="U44" s="354"/>
    </row>
    <row r="45" spans="1:28" s="396" customFormat="1">
      <c r="A45" s="392"/>
      <c r="B45" s="393"/>
      <c r="C45" s="395"/>
      <c r="D45" s="395"/>
      <c r="E45" s="395"/>
      <c r="F45" s="395"/>
      <c r="G45" s="397"/>
      <c r="H45" s="395"/>
      <c r="I45" s="395"/>
      <c r="J45" s="395"/>
      <c r="K45" s="395"/>
      <c r="L45" s="395"/>
      <c r="M45" s="395"/>
      <c r="N45" s="395"/>
      <c r="O45" s="395"/>
      <c r="P45" s="395"/>
      <c r="Q45" s="397"/>
      <c r="R45" s="395"/>
      <c r="S45" s="395"/>
      <c r="T45" s="395"/>
      <c r="U45" s="395"/>
    </row>
    <row r="46" spans="1:28" s="396" customFormat="1">
      <c r="A46" s="392"/>
      <c r="B46" s="393"/>
      <c r="C46" s="395"/>
      <c r="D46" s="395"/>
      <c r="E46" s="395"/>
      <c r="F46" s="395"/>
      <c r="G46" s="397"/>
      <c r="H46" s="395"/>
      <c r="I46" s="395"/>
      <c r="J46" s="395"/>
      <c r="K46" s="395"/>
      <c r="L46" s="395"/>
      <c r="M46" s="395"/>
      <c r="N46" s="395"/>
      <c r="O46" s="395"/>
      <c r="P46" s="395"/>
      <c r="Q46" s="397"/>
      <c r="R46" s="395"/>
      <c r="S46" s="395"/>
      <c r="T46" s="395"/>
      <c r="U46" s="395"/>
    </row>
    <row r="47" spans="1:28" s="396" customFormat="1">
      <c r="A47" s="392"/>
      <c r="B47" s="393"/>
      <c r="C47" s="395"/>
      <c r="D47" s="395"/>
      <c r="E47" s="395"/>
      <c r="F47" s="395"/>
      <c r="G47" s="397"/>
      <c r="H47" s="395"/>
      <c r="I47" s="395"/>
      <c r="J47" s="395"/>
      <c r="K47" s="395"/>
      <c r="L47" s="395"/>
      <c r="M47" s="395"/>
      <c r="N47" s="395"/>
      <c r="O47" s="395"/>
      <c r="P47" s="395"/>
      <c r="Q47" s="397"/>
      <c r="R47" s="395"/>
      <c r="S47" s="395"/>
      <c r="T47" s="395"/>
      <c r="U47" s="395"/>
    </row>
    <row r="48" spans="1:28">
      <c r="M48" s="374"/>
      <c r="N48" s="374"/>
    </row>
    <row r="49" spans="2:21">
      <c r="B49" s="98"/>
      <c r="C49" s="98">
        <f>C43-C22</f>
        <v>45331655047.844604</v>
      </c>
      <c r="D49" s="98"/>
      <c r="E49" s="98">
        <f>E43-E22</f>
        <v>39860687695.169998</v>
      </c>
      <c r="F49" s="98"/>
      <c r="G49" s="400">
        <f>G43-G22</f>
        <v>0</v>
      </c>
      <c r="H49" s="98"/>
      <c r="I49" s="98"/>
      <c r="J49" s="98"/>
      <c r="K49" s="98"/>
      <c r="L49" s="98"/>
      <c r="M49" s="98">
        <f>M43-M22</f>
        <v>507856660.28860474</v>
      </c>
      <c r="N49" s="98"/>
      <c r="O49" s="98">
        <f>O43-O22</f>
        <v>245748963.16999817</v>
      </c>
      <c r="P49" s="98"/>
      <c r="Q49" s="401">
        <f>Q43-Q22</f>
        <v>0</v>
      </c>
      <c r="R49" s="99"/>
      <c r="S49" s="99"/>
      <c r="T49" s="99"/>
      <c r="U49" s="99"/>
    </row>
    <row r="50" spans="2:21">
      <c r="C50" s="402"/>
      <c r="D50" s="402"/>
      <c r="E50" s="402"/>
      <c r="F50" s="402"/>
      <c r="G50" s="403"/>
      <c r="H50" s="402"/>
      <c r="I50" s="402"/>
      <c r="J50" s="402"/>
      <c r="K50" s="402"/>
      <c r="L50" s="402"/>
      <c r="M50" s="402"/>
      <c r="N50" s="402"/>
      <c r="O50" s="402"/>
      <c r="P50" s="402"/>
      <c r="Q50" s="403"/>
      <c r="R50" s="402"/>
      <c r="S50" s="402"/>
      <c r="T50" s="402"/>
      <c r="U50" s="402"/>
    </row>
    <row r="51" spans="2:21">
      <c r="M51" s="386"/>
      <c r="N51" s="386"/>
      <c r="Q51" s="404"/>
      <c r="R51" s="386"/>
      <c r="S51" s="386"/>
      <c r="T51" s="386"/>
      <c r="U51" s="386"/>
    </row>
    <row r="52" spans="2:21">
      <c r="M52" s="386"/>
      <c r="N52" s="386"/>
      <c r="O52" s="386"/>
      <c r="P52" s="386"/>
    </row>
    <row r="53" spans="2:21">
      <c r="M53" s="405"/>
      <c r="N53" s="405"/>
      <c r="O53" s="405"/>
      <c r="P53" s="405"/>
      <c r="Q53" s="406"/>
      <c r="R53" s="405"/>
      <c r="S53" s="405"/>
      <c r="T53" s="405"/>
      <c r="U53" s="405"/>
    </row>
    <row r="54" spans="2:21">
      <c r="C54" s="386"/>
      <c r="D54" s="386"/>
      <c r="E54" s="386"/>
      <c r="F54" s="386"/>
      <c r="G54" s="404"/>
      <c r="H54" s="386"/>
      <c r="I54" s="386"/>
      <c r="J54" s="386"/>
      <c r="K54" s="386"/>
      <c r="L54" s="386"/>
      <c r="M54" s="386"/>
      <c r="N54" s="386"/>
      <c r="O54" s="358"/>
      <c r="P54" s="358"/>
    </row>
  </sheetData>
  <mergeCells count="6">
    <mergeCell ref="R3:V3"/>
    <mergeCell ref="A1:Q1"/>
    <mergeCell ref="B3:B4"/>
    <mergeCell ref="C3:G3"/>
    <mergeCell ref="I3:L3"/>
    <mergeCell ref="M3:Q3"/>
  </mergeCells>
  <pageMargins left="0.44" right="0.25" top="0.36" bottom="0.18" header="0.3" footer="0.26"/>
  <pageSetup paperSize="9" scale="35" orientation="portrait" r:id="rId1"/>
</worksheet>
</file>

<file path=xl/worksheets/sheet39.xml><?xml version="1.0" encoding="utf-8"?>
<worksheet xmlns="http://schemas.openxmlformats.org/spreadsheetml/2006/main" xmlns:r="http://schemas.openxmlformats.org/officeDocument/2006/relationships">
  <sheetPr>
    <tabColor rgb="FF57BD68"/>
    <pageSetUpPr fitToPage="1"/>
  </sheetPr>
  <dimension ref="A1:Y33"/>
  <sheetViews>
    <sheetView zoomScaleSheetLayoutView="85" workbookViewId="0">
      <selection activeCell="C8" sqref="C8"/>
    </sheetView>
  </sheetViews>
  <sheetFormatPr defaultRowHeight="15"/>
  <cols>
    <col min="1" max="1" width="41.7109375" style="174" customWidth="1"/>
    <col min="2" max="2" width="18.140625" style="174" customWidth="1"/>
    <col min="3" max="3" width="16.85546875" style="174" bestFit="1" customWidth="1"/>
    <col min="4" max="4" width="0.85546875" style="174" customWidth="1"/>
    <col min="5" max="6" width="16.85546875" style="174" bestFit="1" customWidth="1"/>
    <col min="7" max="7" width="0.5703125" style="174" customWidth="1"/>
    <col min="8" max="9" width="16.85546875" style="174" customWidth="1"/>
    <col min="10" max="10" width="0.85546875" style="174" customWidth="1"/>
    <col min="11" max="12" width="16.85546875" style="174" customWidth="1"/>
    <col min="13" max="13" width="1" style="174" customWidth="1"/>
    <col min="14" max="14" width="15.7109375" style="174" bestFit="1" customWidth="1"/>
    <col min="15" max="15" width="17" style="174" customWidth="1"/>
    <col min="16" max="16" width="0.85546875" style="174" customWidth="1"/>
    <col min="17" max="18" width="16.42578125" style="174" bestFit="1" customWidth="1"/>
    <col min="19" max="19" width="0.85546875" style="174" customWidth="1"/>
    <col min="20" max="21" width="18.140625" style="174" bestFit="1" customWidth="1"/>
    <col min="22" max="22" width="19" style="172" customWidth="1"/>
    <col min="23" max="23" width="19.28515625" style="172" customWidth="1"/>
    <col min="24" max="24" width="15.85546875" style="173" customWidth="1"/>
    <col min="25" max="25" width="15.5703125" style="173" bestFit="1" customWidth="1"/>
    <col min="26" max="16384" width="9.140625" style="174"/>
  </cols>
  <sheetData>
    <row r="1" spans="1:25" ht="15.75">
      <c r="A1" s="1807" t="s">
        <v>207</v>
      </c>
      <c r="B1" s="1808"/>
      <c r="C1" s="1808"/>
      <c r="D1" s="1808"/>
      <c r="E1" s="1808"/>
      <c r="F1" s="1808"/>
      <c r="G1" s="1808"/>
      <c r="H1" s="1808"/>
      <c r="I1" s="1808"/>
      <c r="J1" s="1808"/>
      <c r="K1" s="1808"/>
      <c r="L1" s="1808"/>
      <c r="M1" s="1808"/>
      <c r="N1" s="1808"/>
      <c r="O1" s="1808"/>
      <c r="P1" s="1808"/>
      <c r="Q1" s="1808"/>
      <c r="R1" s="1808"/>
      <c r="S1" s="1808"/>
      <c r="T1" s="1808"/>
      <c r="U1" s="1808"/>
    </row>
    <row r="2" spans="1:25" ht="15.75">
      <c r="A2" s="247"/>
      <c r="B2" s="248"/>
      <c r="C2" s="248"/>
      <c r="D2" s="248"/>
      <c r="E2" s="247"/>
      <c r="F2" s="248"/>
      <c r="G2" s="248"/>
      <c r="H2" s="248"/>
      <c r="I2" s="248"/>
      <c r="J2" s="248"/>
      <c r="K2" s="248"/>
      <c r="L2" s="248"/>
      <c r="M2" s="248"/>
      <c r="N2" s="248"/>
      <c r="O2" s="248"/>
      <c r="P2" s="248"/>
      <c r="Q2" s="248"/>
      <c r="R2" s="248"/>
      <c r="S2" s="248"/>
      <c r="T2" s="249"/>
      <c r="U2" s="249"/>
      <c r="V2" s="175"/>
      <c r="W2" s="4"/>
      <c r="X2" s="176"/>
      <c r="Y2" s="176"/>
    </row>
    <row r="3" spans="1:25" ht="15.75">
      <c r="A3" s="247"/>
      <c r="B3" s="1809" t="s">
        <v>191</v>
      </c>
      <c r="C3" s="1809"/>
      <c r="D3" s="250"/>
      <c r="E3" s="1809" t="s">
        <v>581</v>
      </c>
      <c r="F3" s="1809"/>
      <c r="G3" s="250"/>
      <c r="H3" s="1809" t="s">
        <v>582</v>
      </c>
      <c r="I3" s="1809"/>
      <c r="J3" s="250"/>
      <c r="K3" s="1809" t="s">
        <v>192</v>
      </c>
      <c r="L3" s="1809"/>
      <c r="M3" s="250"/>
      <c r="N3" s="1809" t="s">
        <v>193</v>
      </c>
      <c r="O3" s="1809"/>
      <c r="P3" s="250"/>
      <c r="Q3" s="1809" t="s">
        <v>194</v>
      </c>
      <c r="R3" s="1809"/>
      <c r="S3" s="250"/>
      <c r="T3" s="1809" t="s">
        <v>13</v>
      </c>
      <c r="U3" s="1809"/>
      <c r="V3" s="175"/>
      <c r="W3" s="4"/>
      <c r="X3" s="176"/>
      <c r="Y3" s="176"/>
    </row>
    <row r="4" spans="1:25" ht="15.75">
      <c r="A4" s="247" t="s">
        <v>511</v>
      </c>
      <c r="B4" s="251">
        <v>2014</v>
      </c>
      <c r="C4" s="252">
        <v>2013</v>
      </c>
      <c r="D4" s="252"/>
      <c r="E4" s="251">
        <v>2014</v>
      </c>
      <c r="F4" s="252">
        <v>2013</v>
      </c>
      <c r="G4" s="252"/>
      <c r="H4" s="251">
        <v>2014</v>
      </c>
      <c r="I4" s="252">
        <v>2013</v>
      </c>
      <c r="J4" s="252"/>
      <c r="K4" s="251">
        <v>2014</v>
      </c>
      <c r="L4" s="252">
        <v>2013</v>
      </c>
      <c r="M4" s="252"/>
      <c r="N4" s="251">
        <v>2014</v>
      </c>
      <c r="O4" s="252">
        <v>2013</v>
      </c>
      <c r="P4" s="252"/>
      <c r="Q4" s="251">
        <v>2014</v>
      </c>
      <c r="R4" s="252">
        <v>2013</v>
      </c>
      <c r="S4" s="252"/>
      <c r="T4" s="251">
        <v>2014</v>
      </c>
      <c r="U4" s="252">
        <v>2013</v>
      </c>
      <c r="V4" s="175"/>
      <c r="W4" s="4"/>
      <c r="X4" s="176"/>
      <c r="Y4" s="176"/>
    </row>
    <row r="5" spans="1:25" ht="15.75">
      <c r="A5" s="253"/>
      <c r="B5" s="254" t="s">
        <v>150</v>
      </c>
      <c r="C5" s="255" t="s">
        <v>150</v>
      </c>
      <c r="D5" s="255"/>
      <c r="E5" s="254" t="s">
        <v>150</v>
      </c>
      <c r="F5" s="255" t="s">
        <v>150</v>
      </c>
      <c r="G5" s="430"/>
      <c r="H5" s="254" t="s">
        <v>150</v>
      </c>
      <c r="I5" s="430" t="s">
        <v>150</v>
      </c>
      <c r="J5" s="430"/>
      <c r="K5" s="254" t="s">
        <v>150</v>
      </c>
      <c r="L5" s="430" t="s">
        <v>150</v>
      </c>
      <c r="M5" s="430"/>
      <c r="N5" s="254" t="s">
        <v>150</v>
      </c>
      <c r="O5" s="255" t="s">
        <v>150</v>
      </c>
      <c r="P5" s="255"/>
      <c r="Q5" s="254" t="s">
        <v>150</v>
      </c>
      <c r="R5" s="255" t="s">
        <v>150</v>
      </c>
      <c r="S5" s="255"/>
      <c r="T5" s="254" t="s">
        <v>150</v>
      </c>
      <c r="U5" s="255" t="s">
        <v>150</v>
      </c>
      <c r="V5" s="175"/>
      <c r="W5" s="4"/>
      <c r="X5" s="176"/>
      <c r="Y5" s="176"/>
    </row>
    <row r="6" spans="1:25" ht="15.75">
      <c r="A6" s="247"/>
      <c r="B6" s="256"/>
      <c r="C6" s="250"/>
      <c r="D6" s="250"/>
      <c r="E6" s="256"/>
      <c r="F6" s="250"/>
      <c r="G6" s="250"/>
      <c r="H6" s="256"/>
      <c r="I6" s="250"/>
      <c r="J6" s="250"/>
      <c r="K6" s="256"/>
      <c r="L6" s="250"/>
      <c r="M6" s="250"/>
      <c r="N6" s="256"/>
      <c r="O6" s="250"/>
      <c r="P6" s="250"/>
      <c r="Q6" s="256"/>
      <c r="R6" s="250"/>
      <c r="S6" s="250"/>
      <c r="T6" s="256"/>
      <c r="U6" s="250"/>
      <c r="V6" s="175"/>
      <c r="W6" s="4"/>
      <c r="X6" s="176"/>
      <c r="Y6" s="176"/>
    </row>
    <row r="7" spans="1:25" ht="15.75">
      <c r="A7" s="248" t="s">
        <v>79</v>
      </c>
      <c r="B7" s="257">
        <v>3784588540.96</v>
      </c>
      <c r="C7" s="258">
        <v>3995839684.0800004</v>
      </c>
      <c r="D7" s="258"/>
      <c r="E7" s="257">
        <v>782893468.96999967</v>
      </c>
      <c r="F7" s="258">
        <v>538206344.5400002</v>
      </c>
      <c r="G7" s="258"/>
      <c r="H7" s="257">
        <v>193710211.72000003</v>
      </c>
      <c r="I7" s="258">
        <v>171010976.37</v>
      </c>
      <c r="J7" s="258"/>
      <c r="K7" s="257">
        <v>77278210</v>
      </c>
      <c r="L7" s="258">
        <v>84757894</v>
      </c>
      <c r="M7" s="258"/>
      <c r="N7" s="257">
        <v>258024130.24000001</v>
      </c>
      <c r="O7" s="258">
        <v>74176752.349999994</v>
      </c>
      <c r="P7" s="258"/>
      <c r="Q7" s="257">
        <v>-62359277.730000004</v>
      </c>
      <c r="R7" s="258">
        <v>-38024936.420000002</v>
      </c>
      <c r="S7" s="258"/>
      <c r="T7" s="257">
        <f>B7+E7+N7+Q7+H7+K7</f>
        <v>5034135284.1599998</v>
      </c>
      <c r="U7" s="258">
        <f>C7+F7+O7+R7+I7+L7</f>
        <v>4825966714.920001</v>
      </c>
      <c r="V7" s="177"/>
      <c r="W7" s="177"/>
      <c r="X7" s="176">
        <v>0</v>
      </c>
      <c r="Y7" s="176">
        <v>0</v>
      </c>
    </row>
    <row r="8" spans="1:25" ht="15.75">
      <c r="A8" s="248" t="s">
        <v>195</v>
      </c>
      <c r="B8" s="257"/>
      <c r="C8" s="258"/>
      <c r="D8" s="258"/>
      <c r="E8" s="257"/>
      <c r="F8" s="258"/>
      <c r="G8" s="258"/>
      <c r="H8" s="257"/>
      <c r="I8" s="258"/>
      <c r="J8" s="258"/>
      <c r="K8" s="257">
        <v>731049379</v>
      </c>
      <c r="L8" s="258">
        <v>664650886</v>
      </c>
      <c r="M8" s="258"/>
      <c r="N8" s="257"/>
      <c r="O8" s="258"/>
      <c r="P8" s="258"/>
      <c r="Q8" s="257">
        <v>-13950341</v>
      </c>
      <c r="R8" s="258"/>
      <c r="S8" s="258"/>
      <c r="T8" s="257">
        <f t="shared" ref="T8:T10" si="0">B8+E8+N8+Q8+H8+K8</f>
        <v>717099038</v>
      </c>
      <c r="U8" s="258">
        <f t="shared" ref="U8:U10" si="1">C8+F8+O8+R8+I8+L8</f>
        <v>664650886</v>
      </c>
      <c r="V8" s="177"/>
      <c r="W8" s="177"/>
      <c r="X8" s="176">
        <v>0</v>
      </c>
      <c r="Y8" s="176">
        <v>0</v>
      </c>
    </row>
    <row r="9" spans="1:25" ht="15.75">
      <c r="A9" s="248" t="s">
        <v>196</v>
      </c>
      <c r="B9" s="257">
        <v>153019650.3418462</v>
      </c>
      <c r="C9" s="258">
        <v>124686544.88234119</v>
      </c>
      <c r="D9" s="258"/>
      <c r="E9" s="257">
        <v>31654190.03417379</v>
      </c>
      <c r="F9" s="258">
        <v>16794239.719329033</v>
      </c>
      <c r="G9" s="258"/>
      <c r="H9" s="257">
        <v>7832150.983980028</v>
      </c>
      <c r="I9" s="258">
        <v>5336242.0583298085</v>
      </c>
      <c r="J9" s="258"/>
      <c r="K9" s="257"/>
      <c r="L9" s="258"/>
      <c r="M9" s="258"/>
      <c r="N9" s="257">
        <v>67117347</v>
      </c>
      <c r="O9" s="258">
        <v>66340751</v>
      </c>
      <c r="P9" s="258"/>
      <c r="Q9" s="257">
        <v>-162967906.41999999</v>
      </c>
      <c r="R9" s="258">
        <v>-136872525.34</v>
      </c>
      <c r="S9" s="258"/>
      <c r="T9" s="257">
        <f t="shared" si="0"/>
        <v>96655431.940000027</v>
      </c>
      <c r="U9" s="258">
        <f t="shared" si="1"/>
        <v>76285252.320000038</v>
      </c>
      <c r="V9" s="177"/>
      <c r="W9" s="177"/>
      <c r="X9" s="176">
        <v>0</v>
      </c>
      <c r="Y9" s="176">
        <v>0</v>
      </c>
    </row>
    <row r="10" spans="1:25" ht="15.75">
      <c r="A10" s="248" t="s">
        <v>197</v>
      </c>
      <c r="B10" s="259"/>
      <c r="C10" s="260"/>
      <c r="D10" s="258"/>
      <c r="E10" s="259">
        <v>0</v>
      </c>
      <c r="F10" s="260">
        <v>0</v>
      </c>
      <c r="G10" s="258"/>
      <c r="H10" s="259">
        <v>0</v>
      </c>
      <c r="I10" s="260">
        <v>0</v>
      </c>
      <c r="J10" s="258"/>
      <c r="K10" s="259">
        <v>32862462</v>
      </c>
      <c r="L10" s="260">
        <v>16409640</v>
      </c>
      <c r="M10" s="258"/>
      <c r="N10" s="259">
        <v>85485368.929999992</v>
      </c>
      <c r="O10" s="260">
        <v>5272067</v>
      </c>
      <c r="P10" s="258"/>
      <c r="Q10" s="259">
        <v>-12727117.76</v>
      </c>
      <c r="R10" s="260">
        <v>-12173351.029999999</v>
      </c>
      <c r="S10" s="258"/>
      <c r="T10" s="259">
        <f t="shared" si="0"/>
        <v>105620713.16999999</v>
      </c>
      <c r="U10" s="260">
        <f t="shared" si="1"/>
        <v>9508355.9700000007</v>
      </c>
      <c r="V10" s="177"/>
      <c r="W10" s="177"/>
      <c r="X10" s="176">
        <v>0</v>
      </c>
      <c r="Y10" s="176">
        <v>0</v>
      </c>
    </row>
    <row r="11" spans="1:25" s="180" customFormat="1" ht="15.75">
      <c r="A11" s="247" t="s">
        <v>465</v>
      </c>
      <c r="B11" s="261">
        <f>SUM(B7:B10)</f>
        <v>3937608191.301846</v>
      </c>
      <c r="C11" s="262">
        <f>SUM(C7:C10)</f>
        <v>4120526228.9623418</v>
      </c>
      <c r="D11" s="262"/>
      <c r="E11" s="261">
        <f>SUM(E7:E10)</f>
        <v>814547659.00417352</v>
      </c>
      <c r="F11" s="262">
        <f>SUM(F7:F10)</f>
        <v>555000584.2593292</v>
      </c>
      <c r="G11" s="262"/>
      <c r="H11" s="261">
        <f>SUM(H7:H10)</f>
        <v>201542362.70398006</v>
      </c>
      <c r="I11" s="262">
        <f>SUM(I7:I10)</f>
        <v>176347218.42832983</v>
      </c>
      <c r="J11" s="262"/>
      <c r="K11" s="261">
        <f>SUM(K7:K10)</f>
        <v>841190051</v>
      </c>
      <c r="L11" s="262">
        <f>SUM(L7:L10)</f>
        <v>765818420</v>
      </c>
      <c r="M11" s="262"/>
      <c r="N11" s="261">
        <f>SUM(N7:N10)</f>
        <v>410626846.17000002</v>
      </c>
      <c r="O11" s="262">
        <f>SUM(O7:O10)</f>
        <v>145789570.34999999</v>
      </c>
      <c r="P11" s="262"/>
      <c r="Q11" s="261">
        <f>SUM(Q7:Q10)</f>
        <v>-252004642.90999997</v>
      </c>
      <c r="R11" s="262">
        <f>SUM(R7:R10)</f>
        <v>-187070812.78999999</v>
      </c>
      <c r="S11" s="262"/>
      <c r="T11" s="261">
        <f>SUM(T7:T10)</f>
        <v>5953510467.2699995</v>
      </c>
      <c r="U11" s="262">
        <f>SUM(U7:U10)</f>
        <v>5576411209.210001</v>
      </c>
      <c r="V11" s="6"/>
      <c r="W11" s="178"/>
      <c r="X11" s="179"/>
      <c r="Y11" s="179"/>
    </row>
    <row r="12" spans="1:25" ht="15.75">
      <c r="A12" s="248" t="s">
        <v>601</v>
      </c>
      <c r="B12" s="257">
        <v>2051705894.5597878</v>
      </c>
      <c r="C12" s="258">
        <v>2399932715.0894337</v>
      </c>
      <c r="D12" s="258"/>
      <c r="E12" s="257">
        <v>424423190.97934556</v>
      </c>
      <c r="F12" s="258">
        <v>323250959.961281</v>
      </c>
      <c r="G12" s="258"/>
      <c r="H12" s="257">
        <v>105014423.34376848</v>
      </c>
      <c r="I12" s="258">
        <v>102710536.27724376</v>
      </c>
      <c r="J12" s="258"/>
      <c r="K12" s="257"/>
      <c r="L12" s="258"/>
      <c r="M12" s="258"/>
      <c r="N12" s="257">
        <v>139880365.6520572</v>
      </c>
      <c r="O12" s="258">
        <v>44551140.370597489</v>
      </c>
      <c r="P12" s="258"/>
      <c r="Q12" s="257">
        <v>-62281587.730000004</v>
      </c>
      <c r="R12" s="258">
        <v>-30423931.420000002</v>
      </c>
      <c r="S12" s="258"/>
      <c r="T12" s="257"/>
      <c r="U12" s="258"/>
      <c r="V12" s="175"/>
      <c r="W12" s="4"/>
      <c r="X12" s="176"/>
      <c r="Y12" s="176"/>
    </row>
    <row r="13" spans="1:25" ht="15.75">
      <c r="A13" s="248" t="s">
        <v>466</v>
      </c>
      <c r="B13" s="257">
        <v>1885902296.7420583</v>
      </c>
      <c r="C13" s="258">
        <v>1720593513.8729081</v>
      </c>
      <c r="D13" s="258"/>
      <c r="E13" s="257">
        <v>390124468.02482796</v>
      </c>
      <c r="F13" s="258">
        <v>231749624.2980482</v>
      </c>
      <c r="G13" s="258"/>
      <c r="H13" s="257">
        <v>96527939.360211581</v>
      </c>
      <c r="I13" s="431">
        <v>73636682.151086062</v>
      </c>
      <c r="J13" s="431"/>
      <c r="K13" s="257">
        <v>841190051</v>
      </c>
      <c r="L13" s="431">
        <v>765818420</v>
      </c>
      <c r="M13" s="258"/>
      <c r="N13" s="257">
        <v>270746480.51794279</v>
      </c>
      <c r="O13" s="258"/>
      <c r="P13" s="258"/>
      <c r="Q13" s="257">
        <v>-189723055.17999995</v>
      </c>
      <c r="R13" s="258">
        <v>-156646881.37</v>
      </c>
      <c r="S13" s="258"/>
      <c r="T13" s="257">
        <f t="shared" ref="T13:T16" si="2">B13+E13+N13+Q13+H13+K13</f>
        <v>3294768180.4650407</v>
      </c>
      <c r="U13" s="258">
        <f t="shared" ref="U13:U16" si="3">C13+F13+O13+R13+I13+L13</f>
        <v>2635151358.9520426</v>
      </c>
      <c r="V13" s="177"/>
      <c r="W13" s="177"/>
      <c r="X13" s="176">
        <v>0</v>
      </c>
      <c r="Y13" s="176">
        <v>0</v>
      </c>
    </row>
    <row r="14" spans="1:25" ht="15.75">
      <c r="A14" s="248" t="s">
        <v>467</v>
      </c>
      <c r="B14" s="257">
        <v>613396566.46000004</v>
      </c>
      <c r="C14" s="258">
        <v>366468514.46649438</v>
      </c>
      <c r="D14" s="258"/>
      <c r="E14" s="257">
        <v>18425534</v>
      </c>
      <c r="F14" s="258">
        <v>11008177.160496399</v>
      </c>
      <c r="G14" s="258"/>
      <c r="H14" s="257">
        <v>1901224</v>
      </c>
      <c r="I14" s="431">
        <v>1135869.962508962</v>
      </c>
      <c r="J14" s="431"/>
      <c r="K14" s="257"/>
      <c r="L14" s="431"/>
      <c r="M14" s="258"/>
      <c r="N14" s="257"/>
      <c r="O14" s="258"/>
      <c r="P14" s="258"/>
      <c r="Q14" s="257"/>
      <c r="R14" s="258"/>
      <c r="S14" s="258"/>
      <c r="T14" s="257">
        <f t="shared" si="2"/>
        <v>633723324.46000004</v>
      </c>
      <c r="U14" s="258">
        <f t="shared" si="3"/>
        <v>378612561.58949977</v>
      </c>
      <c r="V14" s="177"/>
      <c r="W14" s="177"/>
      <c r="X14" s="176"/>
      <c r="Y14" s="176"/>
    </row>
    <row r="15" spans="1:25" ht="15.75">
      <c r="A15" s="248" t="s">
        <v>82</v>
      </c>
      <c r="B15" s="257">
        <v>1272505730.2820582</v>
      </c>
      <c r="C15" s="258">
        <v>1354124999.4064138</v>
      </c>
      <c r="D15" s="258"/>
      <c r="E15" s="257">
        <v>371698934.02482796</v>
      </c>
      <c r="F15" s="258">
        <v>220741447.13755178</v>
      </c>
      <c r="G15" s="258"/>
      <c r="H15" s="257">
        <v>94626715.360211581</v>
      </c>
      <c r="I15" s="431">
        <v>72500812.188577101</v>
      </c>
      <c r="J15" s="431"/>
      <c r="K15" s="257">
        <v>841190051</v>
      </c>
      <c r="L15" s="431">
        <v>765818420</v>
      </c>
      <c r="M15" s="258"/>
      <c r="N15" s="257">
        <v>270746480.51794279</v>
      </c>
      <c r="O15" s="258">
        <v>0</v>
      </c>
      <c r="P15" s="258"/>
      <c r="Q15" s="257">
        <v>-189723055.17999995</v>
      </c>
      <c r="R15" s="258">
        <v>-156646881.37</v>
      </c>
      <c r="S15" s="258"/>
      <c r="T15" s="257">
        <f t="shared" si="2"/>
        <v>2661044856.0050411</v>
      </c>
      <c r="U15" s="258">
        <f t="shared" si="3"/>
        <v>2256538797.3625426</v>
      </c>
      <c r="V15" s="177"/>
      <c r="W15" s="177"/>
      <c r="X15" s="176"/>
      <c r="Y15" s="176"/>
    </row>
    <row r="16" spans="1:25" s="247" customFormat="1" ht="16.5" thickBot="1">
      <c r="A16" s="247" t="s">
        <v>468</v>
      </c>
      <c r="B16" s="263">
        <v>523159049.73182511</v>
      </c>
      <c r="C16" s="264">
        <v>803806814.02766883</v>
      </c>
      <c r="D16" s="262"/>
      <c r="E16" s="263">
        <v>152814762.62402266</v>
      </c>
      <c r="F16" s="264">
        <v>108266087.05493651</v>
      </c>
      <c r="G16" s="262"/>
      <c r="H16" s="263">
        <v>38903418.121440724</v>
      </c>
      <c r="I16" s="264">
        <v>34400726.492454194</v>
      </c>
      <c r="J16" s="262"/>
      <c r="K16" s="263">
        <v>345834346.55927253</v>
      </c>
      <c r="L16" s="264">
        <v>149391128.7294293</v>
      </c>
      <c r="M16" s="262"/>
      <c r="N16" s="263">
        <v>111310674.75398085</v>
      </c>
      <c r="O16" s="264">
        <v>28439729.187455483</v>
      </c>
      <c r="P16" s="262"/>
      <c r="Q16" s="263">
        <v>-8793436</v>
      </c>
      <c r="R16" s="264">
        <v>-78281232.950000003</v>
      </c>
      <c r="S16" s="262"/>
      <c r="T16" s="263">
        <f t="shared" si="2"/>
        <v>1163228815.7905421</v>
      </c>
      <c r="U16" s="264">
        <f t="shared" si="3"/>
        <v>1046023252.5419443</v>
      </c>
      <c r="V16" s="181"/>
      <c r="W16" s="181"/>
      <c r="X16" s="179">
        <v>0</v>
      </c>
      <c r="Y16" s="179">
        <v>0</v>
      </c>
    </row>
    <row r="17" spans="1:25" s="247" customFormat="1" ht="15.75">
      <c r="A17" s="248" t="s">
        <v>472</v>
      </c>
      <c r="B17" s="261"/>
      <c r="C17" s="262"/>
      <c r="D17" s="262"/>
      <c r="E17" s="261"/>
      <c r="F17" s="262"/>
      <c r="G17" s="262"/>
      <c r="H17" s="261"/>
      <c r="I17" s="262"/>
      <c r="J17" s="262"/>
      <c r="K17" s="261"/>
      <c r="L17" s="262"/>
      <c r="M17" s="262"/>
      <c r="N17" s="261"/>
      <c r="O17" s="262"/>
      <c r="P17" s="262"/>
      <c r="Q17" s="261"/>
      <c r="R17" s="262"/>
      <c r="S17" s="262"/>
      <c r="T17" s="257">
        <v>66799999.996432021</v>
      </c>
      <c r="U17" s="258">
        <v>61750000.007151999</v>
      </c>
      <c r="V17" s="181"/>
      <c r="W17" s="181"/>
      <c r="X17" s="179"/>
      <c r="Y17" s="179"/>
    </row>
    <row r="18" spans="1:25" s="247" customFormat="1" ht="15.75">
      <c r="A18" s="248" t="s">
        <v>469</v>
      </c>
      <c r="B18" s="261"/>
      <c r="C18" s="262"/>
      <c r="D18" s="262"/>
      <c r="E18" s="261"/>
      <c r="F18" s="262"/>
      <c r="G18" s="262"/>
      <c r="H18" s="261"/>
      <c r="I18" s="262"/>
      <c r="J18" s="262"/>
      <c r="K18" s="261"/>
      <c r="L18" s="262"/>
      <c r="M18" s="262"/>
      <c r="N18" s="261"/>
      <c r="O18" s="262"/>
      <c r="P18" s="262"/>
      <c r="Q18" s="261"/>
      <c r="R18" s="262"/>
      <c r="S18" s="262"/>
      <c r="T18" s="257">
        <v>313919374</v>
      </c>
      <c r="U18" s="258">
        <v>303354783</v>
      </c>
      <c r="V18" s="181"/>
      <c r="W18" s="181"/>
      <c r="X18" s="179"/>
      <c r="Y18" s="179"/>
    </row>
    <row r="19" spans="1:25" s="247" customFormat="1" ht="15.75">
      <c r="A19" s="248" t="s">
        <v>471</v>
      </c>
      <c r="B19" s="261"/>
      <c r="C19" s="262"/>
      <c r="D19" s="262"/>
      <c r="E19" s="261"/>
      <c r="F19" s="262"/>
      <c r="G19" s="262"/>
      <c r="H19" s="261"/>
      <c r="I19" s="262"/>
      <c r="J19" s="262"/>
      <c r="K19" s="261"/>
      <c r="L19" s="262"/>
      <c r="M19" s="262"/>
      <c r="N19" s="261"/>
      <c r="O19" s="262"/>
      <c r="P19" s="262"/>
      <c r="Q19" s="261"/>
      <c r="R19" s="262"/>
      <c r="S19" s="262"/>
      <c r="T19" s="257"/>
      <c r="U19" s="258"/>
      <c r="V19" s="181"/>
      <c r="W19" s="181"/>
      <c r="X19" s="179"/>
      <c r="Y19" s="179"/>
    </row>
    <row r="20" spans="1:25" s="247" customFormat="1" ht="16.5" thickBot="1">
      <c r="A20" s="247" t="s">
        <v>198</v>
      </c>
      <c r="B20" s="261"/>
      <c r="C20" s="262"/>
      <c r="D20" s="262"/>
      <c r="E20" s="261"/>
      <c r="F20" s="262"/>
      <c r="G20" s="262"/>
      <c r="H20" s="261"/>
      <c r="I20" s="262"/>
      <c r="J20" s="262"/>
      <c r="K20" s="261"/>
      <c r="L20" s="262"/>
      <c r="M20" s="262"/>
      <c r="N20" s="261"/>
      <c r="O20" s="262"/>
      <c r="P20" s="262"/>
      <c r="Q20" s="261"/>
      <c r="R20" s="262"/>
      <c r="S20" s="262"/>
      <c r="T20" s="263">
        <v>782509441.79410982</v>
      </c>
      <c r="U20" s="264">
        <v>680918469.53479242</v>
      </c>
      <c r="V20" s="181"/>
      <c r="W20" s="181"/>
      <c r="X20" s="179"/>
      <c r="Y20" s="179"/>
    </row>
    <row r="21" spans="1:25" s="248" customFormat="1" ht="15.75">
      <c r="B21" s="257"/>
      <c r="C21" s="258"/>
      <c r="D21" s="258"/>
      <c r="E21" s="257"/>
      <c r="F21" s="258"/>
      <c r="G21" s="258"/>
      <c r="H21" s="257"/>
      <c r="I21" s="258"/>
      <c r="J21" s="258"/>
      <c r="K21" s="257"/>
      <c r="L21" s="258"/>
      <c r="M21" s="258"/>
      <c r="N21" s="257"/>
      <c r="O21" s="258"/>
      <c r="P21" s="258"/>
      <c r="Q21" s="257"/>
      <c r="R21" s="258"/>
      <c r="S21" s="258"/>
      <c r="T21" s="257"/>
      <c r="U21" s="258"/>
      <c r="V21" s="177"/>
      <c r="W21" s="177"/>
      <c r="X21" s="176">
        <v>0</v>
      </c>
      <c r="Y21" s="176">
        <v>0</v>
      </c>
    </row>
    <row r="22" spans="1:25" s="248" customFormat="1" ht="15.75">
      <c r="A22" s="248" t="s">
        <v>199</v>
      </c>
      <c r="B22" s="257">
        <v>92062894145</v>
      </c>
      <c r="C22" s="258">
        <v>83357693890.540421</v>
      </c>
      <c r="D22" s="258"/>
      <c r="E22" s="257">
        <v>15633801620</v>
      </c>
      <c r="F22" s="258">
        <v>12753580650.098331</v>
      </c>
      <c r="G22" s="258"/>
      <c r="H22" s="257">
        <v>5450492466</v>
      </c>
      <c r="I22" s="258">
        <v>4052353342.3801179</v>
      </c>
      <c r="J22" s="258"/>
      <c r="K22" s="257">
        <v>4423305118</v>
      </c>
      <c r="L22" s="258">
        <v>3510021587.3600001</v>
      </c>
      <c r="M22" s="258"/>
      <c r="N22" s="257">
        <v>746520981</v>
      </c>
      <c r="O22" s="258">
        <v>1757725829.6102946</v>
      </c>
      <c r="P22" s="258"/>
      <c r="Q22" s="257">
        <v>-4578881297.8791676</v>
      </c>
      <c r="R22" s="258">
        <v>-3215915541.9891672</v>
      </c>
      <c r="S22" s="258"/>
      <c r="T22" s="257">
        <f t="shared" ref="T22" si="4">B22+E22+N22+Q22+H22+K22</f>
        <v>113738133032.12083</v>
      </c>
      <c r="U22" s="258">
        <f t="shared" ref="U22" si="5">C22+F22+O22+R22+I22+L22</f>
        <v>102215459757.99998</v>
      </c>
      <c r="V22" s="175"/>
      <c r="W22" s="175"/>
      <c r="X22" s="176">
        <v>0</v>
      </c>
      <c r="Y22" s="176">
        <v>0</v>
      </c>
    </row>
    <row r="23" spans="1:25" s="247" customFormat="1" ht="16.5" thickBot="1">
      <c r="A23" s="247" t="s">
        <v>200</v>
      </c>
      <c r="B23" s="263">
        <f>SUM(B22)</f>
        <v>92062894145</v>
      </c>
      <c r="C23" s="264">
        <f>SUM(C22)</f>
        <v>83357693890.540421</v>
      </c>
      <c r="D23" s="262"/>
      <c r="E23" s="263">
        <f>SUM(E22)</f>
        <v>15633801620</v>
      </c>
      <c r="F23" s="264">
        <f>SUM(F22)</f>
        <v>12753580650.098331</v>
      </c>
      <c r="G23" s="262"/>
      <c r="H23" s="263">
        <f>SUM(H22)</f>
        <v>5450492466</v>
      </c>
      <c r="I23" s="264">
        <f>SUM(I22)</f>
        <v>4052353342.3801179</v>
      </c>
      <c r="J23" s="262"/>
      <c r="K23" s="263">
        <f>SUM(K22)</f>
        <v>4423305118</v>
      </c>
      <c r="L23" s="264">
        <f>SUM(L22)</f>
        <v>3510021587.3600001</v>
      </c>
      <c r="M23" s="262"/>
      <c r="N23" s="263">
        <f>SUM(N22)</f>
        <v>746520981</v>
      </c>
      <c r="O23" s="264">
        <f>SUM(O22)</f>
        <v>1757725829.6102946</v>
      </c>
      <c r="P23" s="262"/>
      <c r="Q23" s="263">
        <f>SUM(Q22)</f>
        <v>-4578881297.8791676</v>
      </c>
      <c r="R23" s="264">
        <f>SUM(R22)</f>
        <v>-3215915541.9891672</v>
      </c>
      <c r="S23" s="262"/>
      <c r="T23" s="263">
        <f>SUM(T22)</f>
        <v>113738133032.12083</v>
      </c>
      <c r="U23" s="264">
        <f>SUM(U22)</f>
        <v>102215459757.99998</v>
      </c>
      <c r="V23" s="6"/>
      <c r="W23" s="6"/>
      <c r="X23" s="179"/>
      <c r="Y23" s="179"/>
    </row>
    <row r="24" spans="1:25" s="248" customFormat="1" ht="16.5" customHeight="1">
      <c r="B24" s="257"/>
      <c r="C24" s="258"/>
      <c r="D24" s="258"/>
      <c r="E24" s="257"/>
      <c r="F24" s="258"/>
      <c r="G24" s="258"/>
      <c r="H24" s="257"/>
      <c r="I24" s="258"/>
      <c r="J24" s="258"/>
      <c r="K24" s="257"/>
      <c r="L24" s="258"/>
      <c r="M24" s="258"/>
      <c r="N24" s="257"/>
      <c r="O24" s="258"/>
      <c r="P24" s="258"/>
      <c r="Q24" s="257"/>
      <c r="R24" s="258"/>
      <c r="S24" s="258"/>
      <c r="T24" s="257"/>
      <c r="U24" s="258"/>
      <c r="V24" s="175"/>
      <c r="W24" s="4"/>
      <c r="X24" s="176">
        <v>0</v>
      </c>
      <c r="Y24" s="176">
        <v>0</v>
      </c>
    </row>
    <row r="25" spans="1:25" s="248" customFormat="1" ht="15.75">
      <c r="A25" s="248" t="s">
        <v>201</v>
      </c>
      <c r="B25" s="257">
        <v>75689645901.077286</v>
      </c>
      <c r="C25" s="258">
        <v>67230103513.279808</v>
      </c>
      <c r="D25" s="258"/>
      <c r="E25" s="257">
        <v>12853353348.220318</v>
      </c>
      <c r="F25" s="258">
        <v>10286087669.32761</v>
      </c>
      <c r="G25" s="258"/>
      <c r="H25" s="257">
        <v>4481130520.2752542</v>
      </c>
      <c r="I25" s="258">
        <v>3268326197.1996293</v>
      </c>
      <c r="J25" s="258"/>
      <c r="K25" s="257">
        <v>3152314112</v>
      </c>
      <c r="L25" s="258">
        <v>2617034876</v>
      </c>
      <c r="M25" s="258"/>
      <c r="N25" s="257">
        <v>613753339.32714093</v>
      </c>
      <c r="O25" s="258">
        <v>1417650656.5529654</v>
      </c>
      <c r="P25" s="258"/>
      <c r="Q25" s="257">
        <v>-2775723733.9000001</v>
      </c>
      <c r="R25" s="258">
        <v>-1548188953.3599997</v>
      </c>
      <c r="S25" s="258"/>
      <c r="T25" s="257">
        <f t="shared" ref="T25" si="6">B25+E25+N25+Q25+H25+K25</f>
        <v>94014473487.000015</v>
      </c>
      <c r="U25" s="258">
        <f t="shared" ref="U25" si="7">C25+F25+O25+R25+I25+L25</f>
        <v>83271013959.000015</v>
      </c>
      <c r="V25" s="175"/>
      <c r="W25" s="175"/>
      <c r="X25" s="176">
        <v>0</v>
      </c>
      <c r="Y25" s="176">
        <v>0</v>
      </c>
    </row>
    <row r="26" spans="1:25" s="247" customFormat="1" ht="16.5" thickBot="1">
      <c r="A26" s="247" t="s">
        <v>202</v>
      </c>
      <c r="B26" s="263">
        <f>SUM(B25)</f>
        <v>75689645901.077286</v>
      </c>
      <c r="C26" s="264">
        <f>C25</f>
        <v>67230103513.279808</v>
      </c>
      <c r="D26" s="262"/>
      <c r="E26" s="263">
        <f>SUM(E25)</f>
        <v>12853353348.220318</v>
      </c>
      <c r="F26" s="264">
        <f>F25</f>
        <v>10286087669.32761</v>
      </c>
      <c r="G26" s="262"/>
      <c r="H26" s="263">
        <f>SUM(H25)</f>
        <v>4481130520.2752542</v>
      </c>
      <c r="I26" s="264">
        <f>I25</f>
        <v>3268326197.1996293</v>
      </c>
      <c r="J26" s="262"/>
      <c r="K26" s="263">
        <f>SUM(K25)</f>
        <v>3152314112</v>
      </c>
      <c r="L26" s="264">
        <f>L25</f>
        <v>2617034876</v>
      </c>
      <c r="M26" s="262"/>
      <c r="N26" s="263">
        <f>SUM(N25)</f>
        <v>613753339.32714093</v>
      </c>
      <c r="O26" s="264">
        <f>O25</f>
        <v>1417650656.5529654</v>
      </c>
      <c r="P26" s="262"/>
      <c r="Q26" s="263">
        <f>SUM(Q25)</f>
        <v>-2775723733.9000001</v>
      </c>
      <c r="R26" s="264">
        <f>R25</f>
        <v>-1548188953.3599997</v>
      </c>
      <c r="S26" s="262"/>
      <c r="T26" s="263">
        <f>SUM(T25)</f>
        <v>94014473487.000015</v>
      </c>
      <c r="U26" s="264">
        <f>U25</f>
        <v>83271013959.000015</v>
      </c>
      <c r="V26" s="6"/>
      <c r="W26" s="6"/>
      <c r="X26" s="179"/>
      <c r="Y26" s="179"/>
    </row>
    <row r="27" spans="1:25" s="248" customFormat="1" ht="15.75">
      <c r="B27" s="257"/>
      <c r="C27" s="258"/>
      <c r="D27" s="258"/>
      <c r="E27" s="257"/>
      <c r="F27" s="258"/>
      <c r="G27" s="258"/>
      <c r="H27" s="257"/>
      <c r="I27" s="258"/>
      <c r="J27" s="258"/>
      <c r="K27" s="258"/>
      <c r="L27" s="258"/>
      <c r="M27" s="258"/>
      <c r="N27" s="265"/>
      <c r="O27" s="266"/>
      <c r="P27" s="266"/>
      <c r="Q27" s="265"/>
      <c r="R27" s="266"/>
      <c r="S27" s="266"/>
      <c r="T27" s="257"/>
      <c r="U27" s="258"/>
      <c r="V27" s="175"/>
      <c r="W27" s="4"/>
      <c r="X27" s="176"/>
      <c r="Y27" s="176"/>
    </row>
    <row r="28" spans="1:25" s="248" customFormat="1" ht="15.75">
      <c r="A28" s="248" t="s">
        <v>203</v>
      </c>
      <c r="B28" s="257"/>
      <c r="C28" s="258"/>
      <c r="D28" s="258"/>
      <c r="E28" s="257"/>
      <c r="F28" s="258"/>
      <c r="G28" s="258"/>
      <c r="H28" s="257"/>
      <c r="I28" s="258"/>
      <c r="J28" s="258"/>
      <c r="K28" s="258"/>
      <c r="L28" s="258"/>
      <c r="M28" s="258"/>
      <c r="N28" s="257"/>
      <c r="O28" s="258"/>
      <c r="P28" s="258"/>
      <c r="Q28" s="257"/>
      <c r="R28" s="258"/>
      <c r="S28" s="258"/>
      <c r="T28" s="257"/>
      <c r="U28" s="258"/>
      <c r="V28" s="175"/>
      <c r="W28" s="4"/>
      <c r="X28" s="176"/>
      <c r="Y28" s="176"/>
    </row>
    <row r="29" spans="1:25" s="248" customFormat="1" ht="15.75">
      <c r="A29" s="248" t="s">
        <v>204</v>
      </c>
      <c r="B29" s="257"/>
      <c r="C29" s="258"/>
      <c r="D29" s="258"/>
      <c r="E29" s="257"/>
      <c r="F29" s="258"/>
      <c r="G29" s="258"/>
      <c r="H29" s="257"/>
      <c r="I29" s="258"/>
      <c r="J29" s="258"/>
      <c r="K29" s="258"/>
      <c r="L29" s="258"/>
      <c r="M29" s="258"/>
      <c r="N29" s="257"/>
      <c r="O29" s="258"/>
      <c r="P29" s="258"/>
      <c r="Q29" s="257"/>
      <c r="R29" s="258"/>
      <c r="S29" s="258"/>
      <c r="T29" s="257"/>
      <c r="U29" s="258"/>
      <c r="V29" s="175"/>
      <c r="W29" s="4"/>
      <c r="X29" s="176"/>
      <c r="Y29" s="176"/>
    </row>
    <row r="30" spans="1:25" s="248" customFormat="1" ht="15.75">
      <c r="A30" s="248" t="s">
        <v>205</v>
      </c>
      <c r="B30" s="257"/>
      <c r="C30" s="258"/>
      <c r="D30" s="258"/>
      <c r="E30" s="257"/>
      <c r="F30" s="258"/>
      <c r="G30" s="258"/>
      <c r="H30" s="257"/>
      <c r="I30" s="258"/>
      <c r="J30" s="258"/>
      <c r="K30" s="258"/>
      <c r="L30" s="258"/>
      <c r="M30" s="258"/>
      <c r="N30" s="257"/>
      <c r="O30" s="258"/>
      <c r="P30" s="258"/>
      <c r="Q30" s="257"/>
      <c r="R30" s="258"/>
      <c r="S30" s="258"/>
      <c r="T30" s="257"/>
      <c r="U30" s="258"/>
      <c r="V30" s="175"/>
      <c r="W30" s="4"/>
      <c r="X30" s="176"/>
      <c r="Y30" s="176"/>
    </row>
    <row r="31" spans="1:25" s="248" customFormat="1" ht="15.75">
      <c r="A31" s="248" t="s">
        <v>206</v>
      </c>
      <c r="B31" s="257"/>
      <c r="C31" s="258"/>
      <c r="D31" s="258"/>
      <c r="E31" s="257"/>
      <c r="F31" s="258"/>
      <c r="G31" s="258"/>
      <c r="H31" s="257"/>
      <c r="I31" s="258"/>
      <c r="J31" s="258"/>
      <c r="K31" s="258"/>
      <c r="L31" s="258"/>
      <c r="M31" s="258"/>
      <c r="N31" s="257"/>
      <c r="O31" s="258"/>
      <c r="P31" s="258"/>
      <c r="Q31" s="257"/>
      <c r="R31" s="258"/>
      <c r="S31" s="258"/>
      <c r="T31" s="257"/>
      <c r="U31" s="258"/>
      <c r="V31" s="175"/>
      <c r="W31" s="4"/>
      <c r="X31" s="176"/>
      <c r="Y31" s="176"/>
    </row>
    <row r="32" spans="1:25" s="248" customFormat="1" ht="15.75">
      <c r="A32" s="247"/>
      <c r="B32" s="266"/>
      <c r="C32" s="266"/>
      <c r="D32" s="266"/>
      <c r="E32" s="267"/>
      <c r="F32" s="266"/>
      <c r="G32" s="266"/>
      <c r="H32" s="266"/>
      <c r="I32" s="266"/>
      <c r="J32" s="266"/>
      <c r="K32" s="266"/>
      <c r="L32" s="266"/>
      <c r="M32" s="266"/>
      <c r="N32" s="266"/>
      <c r="O32" s="266"/>
      <c r="P32" s="266"/>
      <c r="Q32" s="266"/>
      <c r="R32" s="266"/>
      <c r="S32" s="266"/>
      <c r="T32" s="267"/>
      <c r="U32" s="266"/>
      <c r="V32" s="175"/>
      <c r="W32" s="4"/>
      <c r="X32" s="176"/>
      <c r="Y32" s="176"/>
    </row>
    <row r="33" spans="1:25" s="248" customFormat="1" ht="15.75">
      <c r="A33" s="268"/>
      <c r="B33" s="262"/>
      <c r="C33" s="249"/>
      <c r="D33" s="249"/>
      <c r="E33" s="268"/>
      <c r="F33" s="249"/>
      <c r="G33" s="249"/>
      <c r="H33" s="249"/>
      <c r="I33" s="249"/>
      <c r="J33" s="249"/>
      <c r="K33" s="249"/>
      <c r="L33" s="249"/>
      <c r="M33" s="249"/>
      <c r="N33" s="249"/>
      <c r="O33" s="249"/>
      <c r="P33" s="249"/>
      <c r="Q33" s="249"/>
      <c r="R33" s="249"/>
      <c r="S33" s="249"/>
      <c r="T33" s="268"/>
      <c r="U33" s="249"/>
      <c r="V33" s="175"/>
      <c r="W33" s="4"/>
      <c r="X33" s="176"/>
      <c r="Y33" s="176"/>
    </row>
  </sheetData>
  <mergeCells count="8">
    <mergeCell ref="A1:U1"/>
    <mergeCell ref="B3:C3"/>
    <mergeCell ref="E3:F3"/>
    <mergeCell ref="N3:O3"/>
    <mergeCell ref="Q3:R3"/>
    <mergeCell ref="T3:U3"/>
    <mergeCell ref="H3:I3"/>
    <mergeCell ref="K3:L3"/>
  </mergeCells>
  <pageMargins left="0.7" right="0.25" top="0.75" bottom="0.75" header="0.3" footer="0.3"/>
  <pageSetup paperSize="9" scale="65" orientation="landscape" verticalDpi="300" r:id="rId1"/>
  <headerFooter>
    <oddFooter>&amp;C7</oddFooter>
  </headerFooter>
</worksheet>
</file>

<file path=xl/worksheets/sheet4.xml><?xml version="1.0" encoding="utf-8"?>
<worksheet xmlns="http://schemas.openxmlformats.org/spreadsheetml/2006/main" xmlns:r="http://schemas.openxmlformats.org/officeDocument/2006/relationships">
  <sheetPr>
    <tabColor rgb="FFFF0000"/>
  </sheetPr>
  <dimension ref="B1:AB68"/>
  <sheetViews>
    <sheetView view="pageBreakPreview" zoomScale="90" zoomScaleNormal="70" zoomScaleSheetLayoutView="90" workbookViewId="0">
      <pane xSplit="1" ySplit="1" topLeftCell="B2" activePane="bottomRight" state="frozen"/>
      <selection activeCell="C38" sqref="C38"/>
      <selection pane="topRight" activeCell="C38" sqref="C38"/>
      <selection pane="bottomLeft" activeCell="C38" sqref="C38"/>
      <selection pane="bottomRight" activeCell="S9" sqref="S9"/>
    </sheetView>
  </sheetViews>
  <sheetFormatPr defaultColWidth="19.7109375" defaultRowHeight="15.75"/>
  <cols>
    <col min="1" max="1" width="10.7109375" style="466" customWidth="1"/>
    <col min="2" max="2" width="2.7109375" style="466" customWidth="1"/>
    <col min="3" max="3" width="19.7109375" style="462"/>
    <col min="4" max="4" width="30.7109375" style="463" customWidth="1"/>
    <col min="5" max="5" width="14.7109375" style="464" customWidth="1"/>
    <col min="6" max="6" width="0.85546875" style="464" customWidth="1"/>
    <col min="7" max="7" width="13.7109375" style="464" customWidth="1"/>
    <col min="8" max="8" width="0.85546875" style="464" customWidth="1"/>
    <col min="9" max="9" width="9.5703125" style="464" customWidth="1"/>
    <col min="10" max="10" width="0.85546875" style="464" customWidth="1"/>
    <col min="11" max="11" width="14.140625" style="462" customWidth="1"/>
    <col min="12" max="12" width="0.85546875" style="462" customWidth="1"/>
    <col min="13" max="13" width="14" style="462" customWidth="1"/>
    <col min="14" max="14" width="0.85546875" style="462" customWidth="1"/>
    <col min="15" max="15" width="10" style="462" customWidth="1"/>
    <col min="16" max="16" width="2.5703125" style="462" customWidth="1"/>
    <col min="17" max="20" width="10.7109375" style="465" customWidth="1"/>
    <col min="21" max="21" width="10.7109375" style="462" customWidth="1"/>
    <col min="22" max="22" width="24.28515625" style="466" customWidth="1"/>
    <col min="23" max="16384" width="19.7109375" style="466"/>
  </cols>
  <sheetData>
    <row r="1" spans="2:23" ht="45.75" customHeight="1">
      <c r="B1" s="1704" t="s">
        <v>76</v>
      </c>
      <c r="C1" s="1704"/>
      <c r="D1" s="1704"/>
      <c r="E1" s="1704"/>
      <c r="F1" s="1704"/>
      <c r="G1" s="1704"/>
      <c r="H1" s="1704"/>
      <c r="I1" s="1704"/>
      <c r="J1" s="1704"/>
      <c r="K1" s="1704"/>
      <c r="L1" s="1704"/>
      <c r="M1" s="1704"/>
      <c r="N1" s="1704"/>
      <c r="O1" s="1704"/>
      <c r="P1" s="1704"/>
      <c r="Q1" s="483"/>
      <c r="R1" s="468"/>
      <c r="S1" s="468"/>
      <c r="T1" s="468"/>
      <c r="U1" s="467"/>
    </row>
    <row r="2" spans="2:23" ht="22.5" customHeight="1">
      <c r="B2" s="1709" t="s">
        <v>518</v>
      </c>
      <c r="C2" s="1709"/>
      <c r="D2" s="1709"/>
      <c r="E2" s="1709"/>
      <c r="F2" s="1709"/>
      <c r="G2" s="1709"/>
      <c r="H2" s="1709"/>
      <c r="I2" s="1709"/>
      <c r="J2" s="1709"/>
      <c r="K2" s="1709"/>
      <c r="L2" s="1709"/>
      <c r="M2" s="1709"/>
      <c r="N2" s="1709"/>
      <c r="O2" s="1709"/>
      <c r="P2" s="1709"/>
      <c r="Q2" s="483"/>
      <c r="R2" s="468"/>
      <c r="S2" s="468"/>
      <c r="T2" s="468"/>
      <c r="U2" s="467"/>
    </row>
    <row r="3" spans="2:23" ht="18.95" customHeight="1">
      <c r="B3" s="1709" t="s">
        <v>807</v>
      </c>
      <c r="C3" s="1709"/>
      <c r="D3" s="1709"/>
      <c r="E3" s="1709"/>
      <c r="F3" s="1709"/>
      <c r="G3" s="1709"/>
      <c r="H3" s="1709"/>
      <c r="I3" s="1709"/>
      <c r="J3" s="1709"/>
      <c r="K3" s="1709"/>
      <c r="L3" s="1709"/>
      <c r="M3" s="1709"/>
      <c r="N3" s="1709"/>
      <c r="O3" s="1709"/>
      <c r="P3" s="1709"/>
      <c r="Q3" s="483"/>
      <c r="R3" s="468"/>
      <c r="S3" s="468"/>
      <c r="T3" s="468"/>
      <c r="U3" s="467"/>
    </row>
    <row r="4" spans="2:23" ht="7.5" customHeight="1" thickBot="1">
      <c r="C4" s="469"/>
      <c r="D4" s="470"/>
      <c r="E4" s="470"/>
      <c r="F4" s="470"/>
      <c r="G4" s="470"/>
      <c r="H4" s="470"/>
      <c r="I4" s="470"/>
      <c r="J4" s="470"/>
      <c r="K4" s="470"/>
      <c r="L4" s="470"/>
      <c r="M4" s="470"/>
      <c r="N4" s="470"/>
      <c r="O4" s="470"/>
      <c r="P4" s="470"/>
      <c r="Q4" s="483"/>
      <c r="R4" s="468"/>
      <c r="S4" s="468"/>
      <c r="T4" s="468"/>
      <c r="U4" s="467"/>
    </row>
    <row r="5" spans="2:23" ht="9" customHeight="1">
      <c r="B5" s="515"/>
      <c r="C5" s="516"/>
      <c r="D5" s="517"/>
      <c r="E5" s="518"/>
      <c r="F5" s="518"/>
      <c r="G5" s="518"/>
      <c r="H5" s="518"/>
      <c r="I5" s="518"/>
      <c r="J5" s="518"/>
      <c r="K5" s="516"/>
      <c r="L5" s="516"/>
      <c r="M5" s="516"/>
      <c r="N5" s="516"/>
      <c r="O5" s="516"/>
      <c r="P5" s="519"/>
      <c r="U5" s="465"/>
    </row>
    <row r="6" spans="2:23" ht="15.75" customHeight="1" thickBot="1">
      <c r="B6" s="520"/>
      <c r="C6" s="473"/>
      <c r="D6" s="474"/>
      <c r="E6" s="1706" t="s">
        <v>77</v>
      </c>
      <c r="F6" s="1706"/>
      <c r="G6" s="1707"/>
      <c r="H6" s="1707"/>
      <c r="I6" s="1707"/>
      <c r="J6" s="475"/>
      <c r="K6" s="1708" t="s">
        <v>78</v>
      </c>
      <c r="L6" s="1708"/>
      <c r="M6" s="1708"/>
      <c r="N6" s="1708"/>
      <c r="O6" s="1708"/>
      <c r="P6" s="521"/>
      <c r="Q6" s="476"/>
      <c r="R6" s="476"/>
      <c r="S6" s="476"/>
      <c r="T6" s="476"/>
      <c r="U6" s="476"/>
    </row>
    <row r="7" spans="2:23" ht="15.75" customHeight="1">
      <c r="B7" s="520"/>
      <c r="C7" s="473" t="s">
        <v>420</v>
      </c>
      <c r="D7" s="474"/>
      <c r="E7" s="542" t="s">
        <v>813</v>
      </c>
      <c r="F7" s="475"/>
      <c r="G7" s="475" t="s">
        <v>352</v>
      </c>
      <c r="H7" s="475"/>
      <c r="I7" s="475" t="s">
        <v>391</v>
      </c>
      <c r="J7" s="475"/>
      <c r="K7" s="542" t="s">
        <v>813</v>
      </c>
      <c r="L7" s="475"/>
      <c r="M7" s="1387" t="s">
        <v>352</v>
      </c>
      <c r="N7" s="475"/>
      <c r="O7" s="475" t="s">
        <v>391</v>
      </c>
      <c r="P7" s="522"/>
      <c r="Q7" s="475"/>
      <c r="R7" s="475"/>
      <c r="S7" s="475"/>
      <c r="T7" s="475"/>
      <c r="U7" s="475"/>
    </row>
    <row r="8" spans="2:23" ht="15.75" customHeight="1">
      <c r="B8" s="520"/>
      <c r="C8" s="473"/>
      <c r="D8" s="476"/>
      <c r="E8" s="543" t="s">
        <v>812</v>
      </c>
      <c r="F8" s="475"/>
      <c r="G8" s="1387" t="s">
        <v>812</v>
      </c>
      <c r="H8" s="475"/>
      <c r="I8" s="475" t="s">
        <v>28</v>
      </c>
      <c r="J8" s="475"/>
      <c r="K8" s="543" t="s">
        <v>812</v>
      </c>
      <c r="L8" s="475"/>
      <c r="M8" s="1387" t="s">
        <v>812</v>
      </c>
      <c r="N8" s="475"/>
      <c r="O8" s="475" t="s">
        <v>28</v>
      </c>
      <c r="P8" s="522"/>
      <c r="Q8" s="475"/>
      <c r="R8" s="475"/>
      <c r="S8" s="475"/>
      <c r="T8" s="475"/>
      <c r="U8" s="475"/>
    </row>
    <row r="9" spans="2:23" ht="15.75" customHeight="1" thickBot="1">
      <c r="B9" s="520"/>
      <c r="C9" s="477"/>
      <c r="D9" s="478"/>
      <c r="E9" s="544" t="s">
        <v>148</v>
      </c>
      <c r="F9" s="479"/>
      <c r="G9" s="479" t="s">
        <v>148</v>
      </c>
      <c r="H9" s="479"/>
      <c r="I9" s="479"/>
      <c r="J9" s="479"/>
      <c r="K9" s="544" t="s">
        <v>148</v>
      </c>
      <c r="L9" s="479"/>
      <c r="M9" s="479" t="s">
        <v>148</v>
      </c>
      <c r="N9" s="479"/>
      <c r="O9" s="479"/>
      <c r="P9" s="522"/>
      <c r="Q9" s="475"/>
      <c r="R9" s="475"/>
      <c r="S9" s="475"/>
      <c r="T9" s="475"/>
      <c r="U9" s="475"/>
    </row>
    <row r="10" spans="2:23" ht="15.75" customHeight="1">
      <c r="B10" s="525"/>
      <c r="C10" s="501" t="s">
        <v>95</v>
      </c>
      <c r="D10" s="502"/>
      <c r="E10" s="545"/>
      <c r="F10" s="503"/>
      <c r="G10" s="503"/>
      <c r="H10" s="503"/>
      <c r="I10" s="503"/>
      <c r="J10" s="503"/>
      <c r="K10" s="545"/>
      <c r="L10" s="503"/>
      <c r="M10" s="503"/>
      <c r="N10" s="503"/>
      <c r="O10" s="503"/>
      <c r="P10" s="523"/>
      <c r="Q10" s="472"/>
      <c r="R10" s="472"/>
      <c r="S10" s="472"/>
      <c r="T10" s="472"/>
      <c r="U10" s="472"/>
    </row>
    <row r="11" spans="2:23" s="481" customFormat="1">
      <c r="B11" s="525"/>
      <c r="C11" s="504" t="s">
        <v>436</v>
      </c>
      <c r="D11" s="505"/>
      <c r="E11" s="546">
        <f>ROUND('BS (3)'!C9/1000,0)</f>
        <v>5242184</v>
      </c>
      <c r="F11" s="506"/>
      <c r="G11" s="506">
        <f>ROUND('BS (3)'!E9/1000,0)</f>
        <v>2392129</v>
      </c>
      <c r="H11" s="506"/>
      <c r="I11" s="507">
        <f>(E11/G11-1)*100</f>
        <v>119.14303116596136</v>
      </c>
      <c r="J11" s="506"/>
      <c r="K11" s="546">
        <f>ROUND('BS (3)'!N9/1000,0)</f>
        <v>5454907</v>
      </c>
      <c r="L11" s="506"/>
      <c r="M11" s="506">
        <f>ROUND('BS (3)'!P9/1000,0)+1</f>
        <v>2751514</v>
      </c>
      <c r="N11" s="506"/>
      <c r="O11" s="507">
        <f t="shared" ref="O11:O20" si="0">(K11/M11-1)*100</f>
        <v>98.251108298921991</v>
      </c>
      <c r="P11" s="524"/>
      <c r="Q11" s="472"/>
      <c r="R11" s="472"/>
      <c r="S11" s="472"/>
      <c r="T11" s="472"/>
      <c r="U11" s="472"/>
      <c r="W11" s="482"/>
    </row>
    <row r="12" spans="2:23" s="481" customFormat="1">
      <c r="B12" s="525"/>
      <c r="C12" s="504" t="s">
        <v>437</v>
      </c>
      <c r="D12" s="505"/>
      <c r="E12" s="546">
        <f>ROUND('BS (3)'!C10/1000,0)</f>
        <v>316970</v>
      </c>
      <c r="F12" s="506"/>
      <c r="G12" s="506">
        <f>ROUND('BS (3)'!E10/1000,0)</f>
        <v>598392</v>
      </c>
      <c r="H12" s="506"/>
      <c r="I12" s="507">
        <f>(E12/G12-1)*100</f>
        <v>-47.02970627949572</v>
      </c>
      <c r="J12" s="506"/>
      <c r="K12" s="546">
        <f>ROUND('BS (3)'!N10/1000,0)</f>
        <v>1785034</v>
      </c>
      <c r="L12" s="506"/>
      <c r="M12" s="506">
        <f>ROUND('BS (3)'!P10/1000,0)</f>
        <v>1894012</v>
      </c>
      <c r="N12" s="506"/>
      <c r="O12" s="507">
        <f t="shared" si="0"/>
        <v>-5.7538178216399949</v>
      </c>
      <c r="P12" s="524"/>
      <c r="Q12" s="472"/>
      <c r="R12" s="472"/>
      <c r="S12" s="472"/>
      <c r="T12" s="472"/>
      <c r="U12" s="480"/>
      <c r="W12" s="482"/>
    </row>
    <row r="13" spans="2:23">
      <c r="B13" s="525"/>
      <c r="C13" s="504" t="s">
        <v>438</v>
      </c>
      <c r="D13" s="505"/>
      <c r="E13" s="546">
        <f>ROUND('BS (3)'!C11/1000,0)</f>
        <v>0</v>
      </c>
      <c r="F13" s="506"/>
      <c r="G13" s="506">
        <f>ROUND('BS (3)'!E11/1000,0)</f>
        <v>0</v>
      </c>
      <c r="H13" s="506"/>
      <c r="I13" s="507">
        <v>0</v>
      </c>
      <c r="J13" s="506"/>
      <c r="K13" s="546">
        <f>ROUND('BS (3)'!N11/1000,0)</f>
        <v>0</v>
      </c>
      <c r="L13" s="506"/>
      <c r="M13" s="506">
        <f>ROUND('BS (3)'!P11/1000,0)</f>
        <v>0</v>
      </c>
      <c r="N13" s="506"/>
      <c r="O13" s="507">
        <v>0</v>
      </c>
      <c r="P13" s="524"/>
      <c r="Q13" s="472"/>
      <c r="R13" s="472"/>
      <c r="S13" s="472"/>
      <c r="T13" s="472"/>
      <c r="U13" s="480"/>
      <c r="W13" s="482"/>
    </row>
    <row r="14" spans="2:23">
      <c r="B14" s="520"/>
      <c r="C14" s="504" t="s">
        <v>449</v>
      </c>
      <c r="D14" s="505"/>
      <c r="E14" s="546">
        <f>ROUND('BS (3)'!C12/1000,0)</f>
        <v>208546</v>
      </c>
      <c r="F14" s="506"/>
      <c r="G14" s="506">
        <f>ROUND('BS (3)'!E12/1000,0)</f>
        <v>161868</v>
      </c>
      <c r="H14" s="506"/>
      <c r="I14" s="507">
        <f>(E14/G14-1)*100</f>
        <v>28.837077124570641</v>
      </c>
      <c r="J14" s="506"/>
      <c r="K14" s="546">
        <f>ROUND('BS (3)'!N12/1000,0)</f>
        <v>457769</v>
      </c>
      <c r="L14" s="506"/>
      <c r="M14" s="506">
        <f>ROUND('BS (3)'!P12/1000,0)</f>
        <v>294289</v>
      </c>
      <c r="N14" s="506"/>
      <c r="O14" s="507">
        <f t="shared" si="0"/>
        <v>55.550836082898101</v>
      </c>
      <c r="P14" s="524"/>
      <c r="Q14" s="472"/>
      <c r="R14" s="472"/>
      <c r="S14" s="472"/>
      <c r="T14" s="472"/>
      <c r="U14" s="480"/>
      <c r="W14" s="482"/>
    </row>
    <row r="15" spans="2:23">
      <c r="B15" s="520"/>
      <c r="C15" s="504" t="s">
        <v>808</v>
      </c>
      <c r="D15" s="505"/>
      <c r="E15" s="546">
        <f>ROUND('BS (3)'!C13/1000,0)</f>
        <v>46920995</v>
      </c>
      <c r="F15" s="506"/>
      <c r="G15" s="506">
        <f>ROUND('BS (3)'!E13/1000,0)</f>
        <v>47669794</v>
      </c>
      <c r="H15" s="506"/>
      <c r="I15" s="507">
        <f>(E15/G15-1)*100</f>
        <v>-1.5708039350872838</v>
      </c>
      <c r="J15" s="506"/>
      <c r="K15" s="546">
        <f>ROUND('BS (3)'!N13/1000,0)</f>
        <v>46920995</v>
      </c>
      <c r="L15" s="506"/>
      <c r="M15" s="506">
        <f>ROUND('BS (3)'!P13/1000,0)</f>
        <v>47669794</v>
      </c>
      <c r="N15" s="506"/>
      <c r="O15" s="507">
        <f t="shared" si="0"/>
        <v>-1.5708039350872838</v>
      </c>
      <c r="P15" s="524"/>
      <c r="Q15" s="472"/>
      <c r="R15" s="472"/>
      <c r="S15" s="472"/>
      <c r="T15" s="472"/>
      <c r="U15" s="480"/>
      <c r="W15" s="482"/>
    </row>
    <row r="16" spans="2:23">
      <c r="B16" s="520"/>
      <c r="C16" s="504" t="s">
        <v>809</v>
      </c>
      <c r="D16" s="505"/>
      <c r="E16" s="546">
        <f>ROUND('BS (3)'!C14/1000,0)</f>
        <v>27389446</v>
      </c>
      <c r="F16" s="506"/>
      <c r="G16" s="506">
        <f>ROUND('BS (3)'!E14/1000,0)</f>
        <v>29778934</v>
      </c>
      <c r="H16" s="506"/>
      <c r="I16" s="507"/>
      <c r="J16" s="506"/>
      <c r="K16" s="546">
        <f>ROUND('BS (3)'!N14/1000,0)</f>
        <v>27509366</v>
      </c>
      <c r="L16" s="506"/>
      <c r="M16" s="506">
        <f>ROUND('BS (3)'!P14/1000,0)</f>
        <v>29861661</v>
      </c>
      <c r="N16" s="506"/>
      <c r="O16" s="507"/>
      <c r="P16" s="524"/>
      <c r="Q16" s="472"/>
      <c r="R16" s="472"/>
      <c r="S16" s="472"/>
      <c r="T16" s="472"/>
      <c r="U16" s="480"/>
      <c r="W16" s="482"/>
    </row>
    <row r="17" spans="2:23">
      <c r="B17" s="520"/>
      <c r="C17" s="504" t="s">
        <v>810</v>
      </c>
      <c r="D17" s="505"/>
      <c r="E17" s="546">
        <f>ROUND('BS (3)'!C15/1000,0)</f>
        <v>19871457</v>
      </c>
      <c r="F17" s="506"/>
      <c r="G17" s="506">
        <f>ROUND('BS (3)'!E15/1000,0)</f>
        <v>13890344</v>
      </c>
      <c r="H17" s="506"/>
      <c r="I17" s="507"/>
      <c r="J17" s="506"/>
      <c r="K17" s="546">
        <f>ROUND('BS (3)'!N15/1000,0)</f>
        <v>19327504</v>
      </c>
      <c r="L17" s="506"/>
      <c r="M17" s="506">
        <f>ROUND('BS (3)'!P15/1000,0)</f>
        <v>13435407</v>
      </c>
      <c r="N17" s="506"/>
      <c r="O17" s="507"/>
      <c r="P17" s="524"/>
      <c r="Q17" s="472"/>
      <c r="R17" s="472"/>
      <c r="S17" s="472"/>
      <c r="T17" s="472"/>
      <c r="U17" s="480"/>
      <c r="W17" s="482"/>
    </row>
    <row r="18" spans="2:23">
      <c r="B18" s="520"/>
      <c r="C18" s="504" t="s">
        <v>439</v>
      </c>
      <c r="D18" s="505"/>
      <c r="E18" s="546">
        <f>ROUND('BS (3)'!C16/1000,0)</f>
        <v>0</v>
      </c>
      <c r="F18" s="506"/>
      <c r="G18" s="506">
        <f>ROUND('BS (3)'!E16/1000,0)</f>
        <v>0</v>
      </c>
      <c r="H18" s="506"/>
      <c r="I18" s="507">
        <v>0</v>
      </c>
      <c r="J18" s="506"/>
      <c r="K18" s="546">
        <f>ROUND('BS (3)'!N16/1000,0)</f>
        <v>200708</v>
      </c>
      <c r="L18" s="506"/>
      <c r="M18" s="506">
        <f>ROUND('BS (3)'!P16/1000,0)</f>
        <v>87313</v>
      </c>
      <c r="N18" s="506"/>
      <c r="O18" s="507">
        <f t="shared" si="0"/>
        <v>129.8718403903199</v>
      </c>
      <c r="P18" s="524"/>
      <c r="Q18" s="472"/>
      <c r="R18" s="472"/>
      <c r="S18" s="472"/>
      <c r="T18" s="472"/>
      <c r="U18" s="480"/>
      <c r="W18" s="482"/>
    </row>
    <row r="19" spans="2:23">
      <c r="B19" s="520"/>
      <c r="C19" s="504" t="s">
        <v>440</v>
      </c>
      <c r="D19" s="505"/>
      <c r="E19" s="546">
        <f>ROUND('BS (3)'!C17/1000,0)</f>
        <v>874879</v>
      </c>
      <c r="F19" s="506"/>
      <c r="G19" s="506">
        <f>ROUND('BS (3)'!E17/1000,0)</f>
        <v>190342</v>
      </c>
      <c r="H19" s="506"/>
      <c r="I19" s="507">
        <f>(E19/G19-1)*100</f>
        <v>359.63528806043854</v>
      </c>
      <c r="J19" s="506"/>
      <c r="K19" s="546">
        <f>ROUND('BS (3)'!N17/1000,0)</f>
        <v>2028882</v>
      </c>
      <c r="L19" s="506"/>
      <c r="M19" s="506">
        <f>ROUND('BS (3)'!P17/1000,0)</f>
        <v>1331380</v>
      </c>
      <c r="N19" s="506"/>
      <c r="O19" s="507">
        <f t="shared" si="0"/>
        <v>52.389400471691026</v>
      </c>
      <c r="P19" s="524"/>
      <c r="Q19" s="472"/>
      <c r="R19" s="472"/>
      <c r="S19" s="472"/>
      <c r="T19" s="472"/>
      <c r="U19" s="480"/>
      <c r="W19" s="482"/>
    </row>
    <row r="20" spans="2:23">
      <c r="B20" s="520"/>
      <c r="C20" s="504" t="s">
        <v>441</v>
      </c>
      <c r="D20" s="505"/>
      <c r="E20" s="546">
        <f>ROUND('BS (3)'!C18/1000,0)</f>
        <v>4553977</v>
      </c>
      <c r="F20" s="506"/>
      <c r="G20" s="506">
        <f>ROUND('BS (3)'!E18/1000,0)</f>
        <v>1656468</v>
      </c>
      <c r="H20" s="506"/>
      <c r="I20" s="507">
        <f>(E20/G20-1)*100</f>
        <v>174.92091606961318</v>
      </c>
      <c r="J20" s="506"/>
      <c r="K20" s="546">
        <f>ROUND('BS (3)'!N18/1000,0)</f>
        <v>4553977</v>
      </c>
      <c r="L20" s="506"/>
      <c r="M20" s="506">
        <f>ROUND('BS (3)'!P18/1000,0)</f>
        <v>1656468</v>
      </c>
      <c r="N20" s="506"/>
      <c r="O20" s="507">
        <f t="shared" si="0"/>
        <v>174.92091606961318</v>
      </c>
      <c r="P20" s="524"/>
      <c r="Q20" s="472"/>
      <c r="R20" s="472"/>
      <c r="S20" s="472"/>
      <c r="T20" s="472"/>
      <c r="U20" s="480"/>
      <c r="W20" s="482"/>
    </row>
    <row r="21" spans="2:23" s="462" customFormat="1">
      <c r="B21" s="525"/>
      <c r="C21" s="504" t="s">
        <v>98</v>
      </c>
      <c r="D21" s="505"/>
      <c r="E21" s="546">
        <f>ROUND('BS (3)'!C19/1000,0)</f>
        <v>1875000</v>
      </c>
      <c r="F21" s="506"/>
      <c r="G21" s="506">
        <f>ROUND('BS (3)'!E19/1000,0)</f>
        <v>1475000</v>
      </c>
      <c r="H21" s="506"/>
      <c r="I21" s="507">
        <f>(E21/G21-1)*100</f>
        <v>27.118644067796605</v>
      </c>
      <c r="J21" s="506"/>
      <c r="K21" s="546">
        <f>ROUND('BS (3)'!N19/1000,0)</f>
        <v>0</v>
      </c>
      <c r="L21" s="508"/>
      <c r="M21" s="506">
        <f>ROUND('BS (3)'!P19/1000,0)</f>
        <v>0</v>
      </c>
      <c r="N21" s="509"/>
      <c r="O21" s="507">
        <v>0</v>
      </c>
      <c r="P21" s="524"/>
      <c r="Q21" s="472"/>
      <c r="R21" s="472"/>
      <c r="S21" s="472"/>
      <c r="T21" s="472"/>
      <c r="U21" s="480"/>
      <c r="W21" s="482"/>
    </row>
    <row r="22" spans="2:23">
      <c r="B22" s="520"/>
      <c r="C22" s="504" t="s">
        <v>99</v>
      </c>
      <c r="D22" s="505"/>
      <c r="E22" s="546">
        <f>ROUND('BS (3)'!C20/1000,0)</f>
        <v>0</v>
      </c>
      <c r="F22" s="506"/>
      <c r="G22" s="506">
        <f>ROUND('BS (3)'!E20/1000,0)</f>
        <v>0</v>
      </c>
      <c r="H22" s="506"/>
      <c r="I22" s="507">
        <v>0</v>
      </c>
      <c r="J22" s="506"/>
      <c r="K22" s="546">
        <f>ROUND('BS (3)'!N20/1000,0)</f>
        <v>0</v>
      </c>
      <c r="L22" s="506"/>
      <c r="M22" s="506">
        <f>ROUND('BS (3)'!P20/1000,0)</f>
        <v>0</v>
      </c>
      <c r="N22" s="506"/>
      <c r="O22" s="507">
        <v>0</v>
      </c>
      <c r="P22" s="524"/>
      <c r="Q22" s="472"/>
      <c r="R22" s="472"/>
      <c r="S22" s="472"/>
      <c r="T22" s="472"/>
      <c r="U22" s="480"/>
      <c r="W22" s="482"/>
    </row>
    <row r="23" spans="2:23">
      <c r="B23" s="520"/>
      <c r="C23" s="504" t="s">
        <v>100</v>
      </c>
      <c r="D23" s="505"/>
      <c r="E23" s="546">
        <f>ROUND('BS (3)'!C21/1000,0)</f>
        <v>345138</v>
      </c>
      <c r="F23" s="506"/>
      <c r="G23" s="506">
        <f>ROUND('BS (3)'!E21/1000,0)</f>
        <v>352340</v>
      </c>
      <c r="H23" s="506"/>
      <c r="I23" s="507">
        <f>(E23/G23-1)*100</f>
        <v>-2.0440483623772487</v>
      </c>
      <c r="J23" s="506"/>
      <c r="K23" s="546">
        <f>ROUND('BS (3)'!N21/1000,0)+1</f>
        <v>351444</v>
      </c>
      <c r="L23" s="506"/>
      <c r="M23" s="506">
        <f>ROUND('BS (3)'!P21/1000,0)</f>
        <v>361806</v>
      </c>
      <c r="N23" s="506"/>
      <c r="O23" s="507">
        <f>(K23/M23-1)*100</f>
        <v>-2.8639657717119071</v>
      </c>
      <c r="P23" s="524"/>
      <c r="Q23" s="472"/>
      <c r="R23" s="472"/>
      <c r="S23" s="472"/>
      <c r="T23" s="472"/>
      <c r="U23" s="480"/>
      <c r="W23" s="482"/>
    </row>
    <row r="24" spans="2:23">
      <c r="B24" s="520"/>
      <c r="C24" s="504" t="s">
        <v>101</v>
      </c>
      <c r="D24" s="505"/>
      <c r="E24" s="546">
        <f>ROUND('BS (3)'!C22/1000,0)</f>
        <v>948430</v>
      </c>
      <c r="F24" s="506"/>
      <c r="G24" s="506">
        <f>ROUND('BS (3)'!E22/1000,0)</f>
        <v>811040</v>
      </c>
      <c r="H24" s="506"/>
      <c r="I24" s="507">
        <f>(E24/G24-1)*100</f>
        <v>16.939978299467342</v>
      </c>
      <c r="J24" s="506"/>
      <c r="K24" s="546">
        <f>ROUND('BS (3)'!N22/1000,0)</f>
        <v>3638731</v>
      </c>
      <c r="L24" s="506"/>
      <c r="M24" s="506">
        <f>ROUND('BS (3)'!P22/1000,0)+1</f>
        <v>2777378</v>
      </c>
      <c r="N24" s="506"/>
      <c r="O24" s="507">
        <f>(K24/M24-1)*100</f>
        <v>31.013171415630136</v>
      </c>
      <c r="P24" s="524"/>
      <c r="Q24" s="472"/>
      <c r="R24" s="472"/>
      <c r="S24" s="472"/>
      <c r="T24" s="472"/>
      <c r="U24" s="480"/>
      <c r="W24" s="482"/>
    </row>
    <row r="25" spans="2:23">
      <c r="B25" s="520"/>
      <c r="C25" s="504" t="s">
        <v>179</v>
      </c>
      <c r="D25" s="505"/>
      <c r="E25" s="546">
        <f>ROUND('BS (3)'!C23/1000,0)</f>
        <v>55000</v>
      </c>
      <c r="F25" s="506"/>
      <c r="G25" s="506">
        <f>ROUND('BS (3)'!E23/1000,0)</f>
        <v>56000</v>
      </c>
      <c r="H25" s="506"/>
      <c r="I25" s="507">
        <f>(E25/G25-1)*100</f>
        <v>-1.7857142857142905</v>
      </c>
      <c r="J25" s="506"/>
      <c r="K25" s="546">
        <f>ROUND('BS (3)'!N23/1000,0)</f>
        <v>0</v>
      </c>
      <c r="L25" s="506"/>
      <c r="M25" s="506">
        <f>ROUND('BS (3)'!P23/1000,0)</f>
        <v>0</v>
      </c>
      <c r="N25" s="506"/>
      <c r="O25" s="507">
        <v>0</v>
      </c>
      <c r="P25" s="524"/>
      <c r="Q25" s="472"/>
      <c r="R25" s="472"/>
      <c r="S25" s="472"/>
      <c r="T25" s="472"/>
      <c r="U25" s="480"/>
      <c r="W25" s="482"/>
    </row>
    <row r="26" spans="2:23">
      <c r="B26" s="520"/>
      <c r="C26" s="465" t="s">
        <v>102</v>
      </c>
      <c r="D26" s="471"/>
      <c r="E26" s="546">
        <f>ROUND('BS (3)'!C24/1000,0)</f>
        <v>1429693</v>
      </c>
      <c r="F26" s="472"/>
      <c r="G26" s="472">
        <f>ROUND('BS (3)'!E24/1000,0)-1</f>
        <v>977532</v>
      </c>
      <c r="H26" s="472"/>
      <c r="I26" s="480">
        <f>(E26/G26-1)*100</f>
        <v>46.255365553250428</v>
      </c>
      <c r="J26" s="472"/>
      <c r="K26" s="547">
        <f>ROUND('BS (3)'!N24/1000,0)</f>
        <v>2300489</v>
      </c>
      <c r="L26" s="472"/>
      <c r="M26" s="506">
        <f>ROUND('BS (3)'!P24/1000,0)</f>
        <v>1808461</v>
      </c>
      <c r="N26" s="472"/>
      <c r="O26" s="480">
        <f>(K26/M26-1)*100</f>
        <v>27.207000869800346</v>
      </c>
      <c r="P26" s="524"/>
      <c r="Q26" s="472"/>
      <c r="R26" s="472"/>
      <c r="S26" s="472"/>
      <c r="T26" s="472"/>
      <c r="U26" s="480"/>
      <c r="W26" s="482"/>
    </row>
    <row r="27" spans="2:23" s="486" customFormat="1" ht="15.75" customHeight="1" thickBot="1">
      <c r="B27" s="526"/>
      <c r="C27" s="560" t="s">
        <v>103</v>
      </c>
      <c r="D27" s="561"/>
      <c r="E27" s="562">
        <f>SUM(E11:E26)</f>
        <v>110031715</v>
      </c>
      <c r="F27" s="563"/>
      <c r="G27" s="563">
        <f>SUM(G11:G26)</f>
        <v>100010183</v>
      </c>
      <c r="H27" s="563"/>
      <c r="I27" s="564">
        <f>(E27/G27-1)*100</f>
        <v>10.020511611302618</v>
      </c>
      <c r="J27" s="563"/>
      <c r="K27" s="562">
        <f>SUM(K11:K26)</f>
        <v>114529806</v>
      </c>
      <c r="L27" s="563"/>
      <c r="M27" s="563">
        <f>SUM(M11:M26)</f>
        <v>103929483</v>
      </c>
      <c r="N27" s="563"/>
      <c r="O27" s="564">
        <f>(K27/M27-1)*100</f>
        <v>10.199534043674596</v>
      </c>
      <c r="P27" s="524"/>
      <c r="Q27" s="485"/>
      <c r="R27" s="485"/>
      <c r="S27" s="485"/>
      <c r="T27" s="485"/>
      <c r="U27" s="480"/>
    </row>
    <row r="28" spans="2:23" ht="15.75" customHeight="1">
      <c r="B28" s="520"/>
      <c r="C28" s="465"/>
      <c r="D28" s="471"/>
      <c r="E28" s="547"/>
      <c r="F28" s="472"/>
      <c r="G28" s="472"/>
      <c r="H28" s="472"/>
      <c r="I28" s="480"/>
      <c r="J28" s="472"/>
      <c r="K28" s="547"/>
      <c r="L28" s="472"/>
      <c r="M28" s="472"/>
      <c r="N28" s="472"/>
      <c r="O28" s="480"/>
      <c r="P28" s="524"/>
      <c r="Q28" s="472"/>
      <c r="R28" s="472"/>
      <c r="S28" s="472"/>
      <c r="T28" s="472"/>
      <c r="U28" s="480"/>
    </row>
    <row r="29" spans="2:23" s="486" customFormat="1" ht="15.75" customHeight="1">
      <c r="B29" s="526"/>
      <c r="C29" s="1400" t="s">
        <v>104</v>
      </c>
      <c r="D29" s="505"/>
      <c r="E29" s="546"/>
      <c r="F29" s="506"/>
      <c r="G29" s="506"/>
      <c r="H29" s="506"/>
      <c r="I29" s="507"/>
      <c r="J29" s="506"/>
      <c r="K29" s="546"/>
      <c r="L29" s="506"/>
      <c r="M29" s="506"/>
      <c r="N29" s="506"/>
      <c r="O29" s="507"/>
      <c r="P29" s="524"/>
      <c r="Q29" s="472"/>
      <c r="R29" s="472"/>
      <c r="S29" s="472"/>
      <c r="T29" s="472"/>
      <c r="U29" s="480"/>
    </row>
    <row r="30" spans="2:23" s="462" customFormat="1">
      <c r="B30" s="525"/>
      <c r="C30" s="510" t="s">
        <v>442</v>
      </c>
      <c r="D30" s="511"/>
      <c r="E30" s="549">
        <f>ROUND('BS (3)'!C28/1000,0)+1</f>
        <v>13287547</v>
      </c>
      <c r="F30" s="512"/>
      <c r="G30" s="512">
        <f>ROUND('BS (3)'!E28/1000,0)</f>
        <v>16865726</v>
      </c>
      <c r="H30" s="512"/>
      <c r="I30" s="513">
        <f>(E30/G30-1)*100</f>
        <v>-21.215683214585603</v>
      </c>
      <c r="J30" s="512"/>
      <c r="K30" s="549">
        <f>ROUND('BS (3)'!N28/1000,0)</f>
        <v>14600793</v>
      </c>
      <c r="L30" s="512"/>
      <c r="M30" s="512">
        <f>ROUND('BS (3)'!P28/1000,0)</f>
        <v>18207066</v>
      </c>
      <c r="N30" s="512"/>
      <c r="O30" s="513">
        <f t="shared" ref="O30:O39" si="1">(K30/M30-1)*100</f>
        <v>-19.806996909881036</v>
      </c>
      <c r="P30" s="524"/>
      <c r="Q30" s="472"/>
      <c r="R30" s="472"/>
      <c r="S30" s="472"/>
      <c r="T30" s="472"/>
      <c r="U30" s="480"/>
    </row>
    <row r="31" spans="2:23" s="462" customFormat="1">
      <c r="B31" s="525"/>
      <c r="C31" s="514" t="s">
        <v>443</v>
      </c>
      <c r="D31" s="505"/>
      <c r="E31" s="549">
        <f>ROUND('BS (3)'!C29/1000,0)</f>
        <v>39921527</v>
      </c>
      <c r="F31" s="506"/>
      <c r="G31" s="512">
        <f>ROUND('BS (3)'!E29/1000,0)</f>
        <v>29769955</v>
      </c>
      <c r="H31" s="506"/>
      <c r="I31" s="507">
        <f>(E31/G31-1)*100</f>
        <v>34.100058263440445</v>
      </c>
      <c r="J31" s="506"/>
      <c r="K31" s="549">
        <f>ROUND('BS (3)'!N29/1000,0)</f>
        <v>39835007</v>
      </c>
      <c r="L31" s="506"/>
      <c r="M31" s="512">
        <f>ROUND('BS (3)'!P29/1000,0)</f>
        <v>29699653</v>
      </c>
      <c r="N31" s="506"/>
      <c r="O31" s="507">
        <f t="shared" si="1"/>
        <v>34.126169756932853</v>
      </c>
      <c r="P31" s="524"/>
      <c r="Q31" s="472"/>
      <c r="R31" s="472"/>
      <c r="S31" s="472"/>
      <c r="T31" s="472"/>
      <c r="U31" s="480"/>
    </row>
    <row r="32" spans="2:23" s="462" customFormat="1">
      <c r="B32" s="525"/>
      <c r="C32" s="514" t="s">
        <v>588</v>
      </c>
      <c r="D32" s="505"/>
      <c r="E32" s="549">
        <f>ROUND('BS (3)'!C30/1000,0)</f>
        <v>29513627</v>
      </c>
      <c r="F32" s="506"/>
      <c r="G32" s="512">
        <f>ROUND('BS (3)'!E30/1000,0)</f>
        <v>28985476</v>
      </c>
      <c r="H32" s="506"/>
      <c r="I32" s="507">
        <f>(E32/G32-1)*100</f>
        <v>1.8221229142485029</v>
      </c>
      <c r="J32" s="506"/>
      <c r="K32" s="549">
        <f>ROUND('BS (3)'!N30/1000,0)</f>
        <v>29405300</v>
      </c>
      <c r="L32" s="506"/>
      <c r="M32" s="512">
        <f>ROUND('BS (3)'!P30/1000,0)</f>
        <v>28881072</v>
      </c>
      <c r="N32" s="506"/>
      <c r="O32" s="507">
        <f t="shared" si="1"/>
        <v>1.8151265299293673</v>
      </c>
      <c r="P32" s="524"/>
      <c r="Q32" s="472"/>
      <c r="R32" s="472"/>
      <c r="S32" s="472"/>
      <c r="T32" s="472"/>
      <c r="U32" s="480"/>
    </row>
    <row r="33" spans="2:28" s="462" customFormat="1">
      <c r="B33" s="525"/>
      <c r="C33" s="514" t="s">
        <v>589</v>
      </c>
      <c r="D33" s="505"/>
      <c r="E33" s="549">
        <f>ROUND('BS (3)'!C31/1000,0)</f>
        <v>4655712</v>
      </c>
      <c r="F33" s="506"/>
      <c r="G33" s="512">
        <f>ROUND('BS (3)'!E31/1000,0)</f>
        <v>3974559</v>
      </c>
      <c r="H33" s="506"/>
      <c r="I33" s="507">
        <f>(E33/G33-1)*100</f>
        <v>17.137825856906396</v>
      </c>
      <c r="J33" s="506"/>
      <c r="K33" s="549">
        <f>ROUND('BS (3)'!N31/1000,0)</f>
        <v>4410591</v>
      </c>
      <c r="L33" s="506"/>
      <c r="M33" s="512">
        <f>ROUND('BS (3)'!P31/1000,0)</f>
        <v>3889425</v>
      </c>
      <c r="N33" s="506"/>
      <c r="O33" s="507">
        <f t="shared" si="1"/>
        <v>13.399564202934888</v>
      </c>
      <c r="P33" s="524"/>
      <c r="Q33" s="472"/>
      <c r="R33" s="472"/>
      <c r="S33" s="472"/>
      <c r="T33" s="472"/>
      <c r="U33" s="480"/>
    </row>
    <row r="34" spans="2:28" s="462" customFormat="1">
      <c r="B34" s="525"/>
      <c r="C34" s="514" t="s">
        <v>438</v>
      </c>
      <c r="D34" s="505"/>
      <c r="E34" s="549">
        <f>ROUND('BS (3)'!C32/1000,0)</f>
        <v>174353</v>
      </c>
      <c r="F34" s="506"/>
      <c r="G34" s="512">
        <f>ROUND('BS (3)'!E32/1000,0)</f>
        <v>0</v>
      </c>
      <c r="H34" s="506"/>
      <c r="I34" s="507">
        <v>0</v>
      </c>
      <c r="J34" s="506"/>
      <c r="K34" s="549">
        <f>ROUND('BS (3)'!N32/1000,0)</f>
        <v>174353</v>
      </c>
      <c r="L34" s="506"/>
      <c r="M34" s="512">
        <f>ROUND('BS (3)'!P32/1000,0)</f>
        <v>0</v>
      </c>
      <c r="N34" s="506"/>
      <c r="O34" s="507">
        <v>0</v>
      </c>
      <c r="P34" s="524"/>
      <c r="Q34" s="472"/>
      <c r="R34" s="472"/>
      <c r="S34" s="472"/>
      <c r="T34" s="472"/>
      <c r="U34" s="480"/>
    </row>
    <row r="35" spans="2:28" s="462" customFormat="1">
      <c r="B35" s="525"/>
      <c r="C35" s="514" t="s">
        <v>446</v>
      </c>
      <c r="D35" s="505"/>
      <c r="E35" s="549">
        <f>ROUND('BS (3)'!C33/1000,0)</f>
        <v>0</v>
      </c>
      <c r="F35" s="506"/>
      <c r="G35" s="512">
        <f>ROUND('BS (3)'!E33/1000,0)</f>
        <v>0</v>
      </c>
      <c r="H35" s="506"/>
      <c r="I35" s="507">
        <v>0</v>
      </c>
      <c r="J35" s="506"/>
      <c r="K35" s="549">
        <f>ROUND('BS (3)'!N33/1000,0)</f>
        <v>2820418</v>
      </c>
      <c r="L35" s="506"/>
      <c r="M35" s="512">
        <f>ROUND('BS (3)'!P33/1000,0)</f>
        <v>2413814</v>
      </c>
      <c r="N35" s="506"/>
      <c r="O35" s="507">
        <f t="shared" si="1"/>
        <v>16.84487702863602</v>
      </c>
      <c r="P35" s="524"/>
      <c r="Q35" s="472"/>
      <c r="R35" s="472"/>
      <c r="S35" s="472"/>
      <c r="T35" s="472"/>
      <c r="U35" s="480"/>
    </row>
    <row r="36" spans="2:28" s="462" customFormat="1">
      <c r="B36" s="525"/>
      <c r="C36" s="514" t="s">
        <v>105</v>
      </c>
      <c r="D36" s="505"/>
      <c r="E36" s="549">
        <f>ROUND('BS (3)'!C34/1000,0)</f>
        <v>479226</v>
      </c>
      <c r="F36" s="506"/>
      <c r="G36" s="512">
        <f>ROUND('BS (3)'!E34/1000,0)</f>
        <v>509911</v>
      </c>
      <c r="H36" s="506"/>
      <c r="I36" s="507">
        <f>(E36/G36-1)*100</f>
        <v>-6.0177168172484974</v>
      </c>
      <c r="J36" s="506"/>
      <c r="K36" s="549">
        <f>ROUND('BS (3)'!N34/1000,0)</f>
        <v>539140</v>
      </c>
      <c r="L36" s="506"/>
      <c r="M36" s="512">
        <f>ROUND('BS (3)'!P34/1000,0)</f>
        <v>604191</v>
      </c>
      <c r="N36" s="506"/>
      <c r="O36" s="507">
        <f t="shared" si="1"/>
        <v>-10.766628433723769</v>
      </c>
      <c r="P36" s="524"/>
      <c r="Q36" s="472"/>
      <c r="R36" s="472"/>
      <c r="S36" s="472"/>
      <c r="T36" s="472"/>
      <c r="U36" s="480"/>
    </row>
    <row r="37" spans="2:28">
      <c r="B37" s="520"/>
      <c r="C37" s="504" t="s">
        <v>106</v>
      </c>
      <c r="D37" s="505"/>
      <c r="E37" s="549">
        <f>ROUND('BS (3)'!C35/1000,0)</f>
        <v>1573461</v>
      </c>
      <c r="F37" s="506"/>
      <c r="G37" s="512">
        <f>ROUND('BS (3)'!E35/1000,0)</f>
        <v>1200641</v>
      </c>
      <c r="H37" s="506"/>
      <c r="I37" s="507">
        <f>(E37/G37-1)*100</f>
        <v>31.051746525397682</v>
      </c>
      <c r="J37" s="506"/>
      <c r="K37" s="549">
        <f>ROUND('BS (3)'!N35/1000,0)</f>
        <v>1593827</v>
      </c>
      <c r="L37" s="506"/>
      <c r="M37" s="512">
        <f>ROUND('BS (3)'!P35/1000,0)</f>
        <v>1225775</v>
      </c>
      <c r="N37" s="506"/>
      <c r="O37" s="507">
        <f t="shared" si="1"/>
        <v>30.02606514246089</v>
      </c>
      <c r="P37" s="524"/>
      <c r="Q37" s="472"/>
      <c r="R37" s="472"/>
      <c r="S37" s="472"/>
      <c r="T37" s="472"/>
      <c r="U37" s="480"/>
    </row>
    <row r="38" spans="2:28">
      <c r="B38" s="520"/>
      <c r="C38" s="552" t="s">
        <v>107</v>
      </c>
      <c r="D38" s="553"/>
      <c r="E38" s="549">
        <f>ROUND('BS (3)'!C36/1000,0)</f>
        <v>181556</v>
      </c>
      <c r="F38" s="554"/>
      <c r="G38" s="512">
        <f>ROUND('BS (3)'!E36/1000,0)</f>
        <v>60643</v>
      </c>
      <c r="H38" s="555"/>
      <c r="I38" s="556">
        <f>(E38/G38-1)*100</f>
        <v>199.38492488828058</v>
      </c>
      <c r="J38" s="555"/>
      <c r="K38" s="549">
        <f>ROUND('BS (3)'!N36/1000,0)</f>
        <v>200637</v>
      </c>
      <c r="L38" s="555"/>
      <c r="M38" s="512">
        <f>ROUND('BS (3)'!P36/1000,0)</f>
        <v>76446</v>
      </c>
      <c r="N38" s="555"/>
      <c r="O38" s="556">
        <f t="shared" si="1"/>
        <v>162.45585118907465</v>
      </c>
      <c r="P38" s="524"/>
      <c r="Q38" s="472"/>
      <c r="R38" s="472"/>
      <c r="S38" s="472"/>
      <c r="T38" s="472"/>
      <c r="U38" s="480"/>
    </row>
    <row r="39" spans="2:28" ht="16.5">
      <c r="B39" s="520"/>
      <c r="C39" s="557" t="s">
        <v>108</v>
      </c>
      <c r="D39" s="558"/>
      <c r="E39" s="550">
        <f>SUM(E30:E38)</f>
        <v>89787009</v>
      </c>
      <c r="F39" s="487"/>
      <c r="G39" s="487">
        <f>SUM(G30:G38)</f>
        <v>81366911</v>
      </c>
      <c r="H39" s="487"/>
      <c r="I39" s="559">
        <f>(E39/G39-1)*100</f>
        <v>10.348307311309867</v>
      </c>
      <c r="J39" s="487"/>
      <c r="K39" s="550">
        <f>SUM(K30:K38)</f>
        <v>93580066</v>
      </c>
      <c r="L39" s="487"/>
      <c r="M39" s="487">
        <f>SUM(M30:M38)</f>
        <v>84997442</v>
      </c>
      <c r="N39" s="487"/>
      <c r="O39" s="559">
        <f t="shared" si="1"/>
        <v>10.097508581493543</v>
      </c>
      <c r="P39" s="524"/>
      <c r="Q39" s="485"/>
      <c r="R39" s="485"/>
      <c r="S39" s="485"/>
      <c r="T39" s="485"/>
      <c r="U39" s="480"/>
    </row>
    <row r="40" spans="2:28" ht="15.75" customHeight="1">
      <c r="B40" s="520"/>
      <c r="C40" s="473"/>
      <c r="D40" s="483"/>
      <c r="E40" s="548"/>
      <c r="F40" s="484"/>
      <c r="G40" s="484"/>
      <c r="H40" s="484"/>
      <c r="I40" s="480"/>
      <c r="J40" s="484"/>
      <c r="K40" s="548"/>
      <c r="L40" s="484"/>
      <c r="M40" s="484"/>
      <c r="N40" s="484"/>
      <c r="O40" s="480"/>
      <c r="P40" s="524"/>
      <c r="Q40" s="472"/>
      <c r="R40" s="472"/>
      <c r="S40" s="472"/>
      <c r="T40" s="472"/>
      <c r="U40" s="480"/>
    </row>
    <row r="41" spans="2:28" s="486" customFormat="1" ht="15.75" customHeight="1">
      <c r="B41" s="526"/>
      <c r="C41" s="473" t="s">
        <v>109</v>
      </c>
      <c r="D41" s="483"/>
      <c r="E41" s="548"/>
      <c r="F41" s="484"/>
      <c r="G41" s="484"/>
      <c r="H41" s="484"/>
      <c r="I41" s="480"/>
      <c r="J41" s="484"/>
      <c r="K41" s="548"/>
      <c r="L41" s="484"/>
      <c r="M41" s="484"/>
      <c r="N41" s="484"/>
      <c r="O41" s="480"/>
      <c r="P41" s="524"/>
      <c r="Q41" s="472"/>
      <c r="R41" s="472"/>
      <c r="S41" s="472"/>
      <c r="T41" s="472"/>
      <c r="U41" s="480"/>
    </row>
    <row r="42" spans="2:28" s="462" customFormat="1">
      <c r="B42" s="525"/>
      <c r="C42" s="504" t="s">
        <v>180</v>
      </c>
      <c r="D42" s="505"/>
      <c r="E42" s="546">
        <f>ROUND('BS (3)'!C40/1000,0)</f>
        <v>12836073</v>
      </c>
      <c r="F42" s="506"/>
      <c r="G42" s="506">
        <f>ROUND('BS (3)'!E40/1000,0)</f>
        <v>12636073</v>
      </c>
      <c r="H42" s="506"/>
      <c r="I42" s="507">
        <f t="shared" ref="I42:I47" si="2">(E42/G42-1)*100</f>
        <v>1.5827702166646196</v>
      </c>
      <c r="J42" s="506"/>
      <c r="K42" s="546">
        <f>ROUND('BS (3)'!N40/1000,0)</f>
        <v>12836073</v>
      </c>
      <c r="L42" s="506"/>
      <c r="M42" s="506">
        <f>ROUND('BS (3)'!P40/1000,0)</f>
        <v>12636073</v>
      </c>
      <c r="N42" s="506"/>
      <c r="O42" s="507">
        <f t="shared" ref="O42:O47" si="3">(K42/M42-1)*100</f>
        <v>1.5827702166646196</v>
      </c>
      <c r="P42" s="524"/>
      <c r="Q42" s="472"/>
      <c r="R42" s="472"/>
      <c r="S42" s="472"/>
      <c r="T42" s="472"/>
      <c r="U42" s="480"/>
      <c r="V42" s="488"/>
      <c r="W42" s="488"/>
      <c r="X42" s="488"/>
      <c r="Z42" s="488"/>
      <c r="AA42" s="488"/>
      <c r="AB42" s="488"/>
    </row>
    <row r="43" spans="2:28">
      <c r="B43" s="520"/>
      <c r="C43" s="504" t="s">
        <v>110</v>
      </c>
      <c r="D43" s="505"/>
      <c r="E43" s="546">
        <f>ROUND('BS (3)'!C41/1000,0)</f>
        <v>1103067</v>
      </c>
      <c r="F43" s="506"/>
      <c r="G43" s="506">
        <f>ROUND('BS (3)'!E41/1000,0)</f>
        <v>930498</v>
      </c>
      <c r="H43" s="506"/>
      <c r="I43" s="507">
        <f t="shared" si="2"/>
        <v>18.545875434444792</v>
      </c>
      <c r="J43" s="506"/>
      <c r="K43" s="546">
        <f>ROUND('BS (3)'!N41/1000,0)</f>
        <v>1103067</v>
      </c>
      <c r="L43" s="506"/>
      <c r="M43" s="506">
        <f>ROUND('BS (3)'!P41/1000,0)</f>
        <v>930498</v>
      </c>
      <c r="N43" s="506"/>
      <c r="O43" s="507">
        <f t="shared" si="3"/>
        <v>18.545875434444792</v>
      </c>
      <c r="P43" s="524"/>
      <c r="Q43" s="472"/>
      <c r="R43" s="472"/>
      <c r="S43" s="472"/>
      <c r="T43" s="472"/>
      <c r="U43" s="480"/>
      <c r="V43" s="489"/>
      <c r="W43" s="489"/>
      <c r="X43" s="489"/>
      <c r="Z43" s="489"/>
      <c r="AA43" s="489"/>
      <c r="AB43" s="489"/>
    </row>
    <row r="44" spans="2:28">
      <c r="B44" s="520"/>
      <c r="C44" s="504" t="s">
        <v>111</v>
      </c>
      <c r="D44" s="505"/>
      <c r="E44" s="546">
        <f>ROUND('BS (3)'!C42/1000,0)</f>
        <v>4693338</v>
      </c>
      <c r="F44" s="506"/>
      <c r="G44" s="506">
        <f>ROUND('BS (3)'!E42/1000,0)</f>
        <v>3747128</v>
      </c>
      <c r="H44" s="506"/>
      <c r="I44" s="507">
        <f t="shared" si="2"/>
        <v>25.251606030004847</v>
      </c>
      <c r="J44" s="506"/>
      <c r="K44" s="546">
        <f>ROUND('BS (3)'!N42/1000,0)</f>
        <v>5385881</v>
      </c>
      <c r="L44" s="506"/>
      <c r="M44" s="506">
        <f>ROUND('BS (3)'!P42/1000,0)</f>
        <v>4037795</v>
      </c>
      <c r="N44" s="506"/>
      <c r="O44" s="507">
        <f t="shared" si="3"/>
        <v>33.386687536142865</v>
      </c>
      <c r="P44" s="524"/>
      <c r="Q44" s="472"/>
      <c r="R44" s="472"/>
      <c r="S44" s="472"/>
      <c r="T44" s="472"/>
      <c r="U44" s="480"/>
      <c r="V44" s="489"/>
      <c r="W44" s="489"/>
      <c r="X44" s="489"/>
      <c r="Z44" s="489"/>
      <c r="AA44" s="489"/>
      <c r="AB44" s="489"/>
    </row>
    <row r="45" spans="2:28">
      <c r="B45" s="520"/>
      <c r="C45" s="552" t="s">
        <v>112</v>
      </c>
      <c r="D45" s="553"/>
      <c r="E45" s="546">
        <f>ROUND('BS (3)'!C43/1000,0)</f>
        <v>1612228</v>
      </c>
      <c r="F45" s="555"/>
      <c r="G45" s="506">
        <f>ROUND('BS (3)'!E43/1000,0)</f>
        <v>1329573</v>
      </c>
      <c r="H45" s="555"/>
      <c r="I45" s="556">
        <f t="shared" si="2"/>
        <v>21.259080922973016</v>
      </c>
      <c r="J45" s="555"/>
      <c r="K45" s="546">
        <f>ROUND('BS (3)'!N43/1000,0)</f>
        <v>1624719</v>
      </c>
      <c r="L45" s="555"/>
      <c r="M45" s="506">
        <f>ROUND('BS (3)'!P43/1000,0)</f>
        <v>1327675</v>
      </c>
      <c r="N45" s="555"/>
      <c r="O45" s="556">
        <f t="shared" si="3"/>
        <v>22.373246464684506</v>
      </c>
      <c r="P45" s="524"/>
      <c r="Q45" s="472"/>
      <c r="R45" s="472"/>
      <c r="S45" s="472"/>
      <c r="T45" s="472"/>
      <c r="U45" s="480"/>
      <c r="V45" s="489"/>
      <c r="W45" s="489"/>
      <c r="X45" s="489"/>
      <c r="Z45" s="489"/>
      <c r="AA45" s="489"/>
      <c r="AB45" s="489"/>
    </row>
    <row r="46" spans="2:28" s="486" customFormat="1" ht="16.5">
      <c r="B46" s="526"/>
      <c r="C46" s="557" t="s">
        <v>113</v>
      </c>
      <c r="D46" s="558"/>
      <c r="E46" s="550">
        <f>SUM(E42:E45)</f>
        <v>20244706</v>
      </c>
      <c r="F46" s="487"/>
      <c r="G46" s="487">
        <f>SUM(G42:G45)</f>
        <v>18643272</v>
      </c>
      <c r="H46" s="487"/>
      <c r="I46" s="559">
        <f t="shared" si="2"/>
        <v>8.5898762835193274</v>
      </c>
      <c r="J46" s="487"/>
      <c r="K46" s="550">
        <f>SUM(K42:K45)</f>
        <v>20949740</v>
      </c>
      <c r="L46" s="487"/>
      <c r="M46" s="487">
        <f>SUM(M42:M45)</f>
        <v>18932041</v>
      </c>
      <c r="N46" s="487"/>
      <c r="O46" s="559">
        <f t="shared" si="3"/>
        <v>10.65758837095272</v>
      </c>
      <c r="P46" s="524"/>
      <c r="Q46" s="485"/>
      <c r="R46" s="485"/>
      <c r="S46" s="485"/>
      <c r="T46" s="485"/>
      <c r="U46" s="480"/>
    </row>
    <row r="47" spans="2:28" s="486" customFormat="1" ht="17.25" thickBot="1">
      <c r="B47" s="526"/>
      <c r="C47" s="560" t="s">
        <v>425</v>
      </c>
      <c r="D47" s="561"/>
      <c r="E47" s="562">
        <f>E39+E46</f>
        <v>110031715</v>
      </c>
      <c r="F47" s="563"/>
      <c r="G47" s="563">
        <f>G39+G46</f>
        <v>100010183</v>
      </c>
      <c r="H47" s="563"/>
      <c r="I47" s="564">
        <f t="shared" si="2"/>
        <v>10.020511611302618</v>
      </c>
      <c r="J47" s="563"/>
      <c r="K47" s="562">
        <f>K39+K46</f>
        <v>114529806</v>
      </c>
      <c r="L47" s="563"/>
      <c r="M47" s="563">
        <f>M39+M46</f>
        <v>103929483</v>
      </c>
      <c r="N47" s="563"/>
      <c r="O47" s="564">
        <f t="shared" si="3"/>
        <v>10.199534043674596</v>
      </c>
      <c r="P47" s="524"/>
      <c r="Q47" s="485"/>
      <c r="R47" s="485"/>
      <c r="S47" s="485"/>
      <c r="T47" s="485"/>
      <c r="U47" s="480"/>
      <c r="V47" s="490"/>
    </row>
    <row r="48" spans="2:28" s="494" customFormat="1" ht="10.5" customHeight="1">
      <c r="B48" s="527"/>
      <c r="C48" s="491"/>
      <c r="D48" s="492"/>
      <c r="E48" s="616"/>
      <c r="F48" s="493"/>
      <c r="G48" s="493"/>
      <c r="H48" s="493"/>
      <c r="I48" s="480"/>
      <c r="J48" s="493"/>
      <c r="K48" s="616"/>
      <c r="L48" s="493"/>
      <c r="M48" s="493"/>
      <c r="N48" s="493"/>
      <c r="O48" s="480"/>
      <c r="P48" s="524"/>
      <c r="Q48" s="472"/>
      <c r="R48" s="480"/>
      <c r="S48" s="480"/>
      <c r="T48" s="480"/>
      <c r="U48" s="480"/>
    </row>
    <row r="49" spans="2:21" s="494" customFormat="1" ht="16.5">
      <c r="B49" s="527"/>
      <c r="C49" s="666" t="s">
        <v>164</v>
      </c>
      <c r="D49" s="667"/>
      <c r="E49" s="668">
        <f>'BS (3)'!C47/1000</f>
        <v>442139.68268999999</v>
      </c>
      <c r="F49" s="669"/>
      <c r="G49" s="670">
        <f>'BS (3)'!E47/1000</f>
        <v>387405.94836500002</v>
      </c>
      <c r="H49" s="670"/>
      <c r="I49" s="507">
        <f>(E49/G49-1)*100</f>
        <v>14.128263790475359</v>
      </c>
      <c r="J49" s="669"/>
      <c r="K49" s="668">
        <f>'BS (3)'!N47/1000</f>
        <v>442139.68268999999</v>
      </c>
      <c r="L49" s="669"/>
      <c r="M49" s="670">
        <f>'BS (3)'!P47/1000</f>
        <v>387405.94836500002</v>
      </c>
      <c r="N49" s="669"/>
      <c r="O49" s="507">
        <f>(K49/M49-1)*100</f>
        <v>14.128263790475359</v>
      </c>
      <c r="P49" s="524"/>
      <c r="Q49" s="472"/>
      <c r="R49" s="480"/>
      <c r="S49" s="480"/>
      <c r="T49" s="480"/>
      <c r="U49" s="480"/>
    </row>
    <row r="50" spans="2:21" s="494" customFormat="1" ht="16.5">
      <c r="B50" s="527"/>
      <c r="C50" s="671" t="s">
        <v>457</v>
      </c>
      <c r="D50" s="667"/>
      <c r="E50" s="668">
        <f>'BS (3)'!C48/1000</f>
        <v>5707122.6239999998</v>
      </c>
      <c r="F50" s="669"/>
      <c r="G50" s="670">
        <f>'BS (3)'!E48/1000</f>
        <v>68881.429250000001</v>
      </c>
      <c r="H50" s="670"/>
      <c r="I50" s="507">
        <f>(E50/G50-1)*100</f>
        <v>8185.4300297492728</v>
      </c>
      <c r="J50" s="669"/>
      <c r="K50" s="668">
        <f>'BS (3)'!N48/1000</f>
        <v>6561403.523</v>
      </c>
      <c r="L50" s="669"/>
      <c r="M50" s="670">
        <f>'BS (3)'!P48/1000</f>
        <v>1040768.5692499999</v>
      </c>
      <c r="N50" s="669"/>
      <c r="O50" s="507">
        <f>(K50/M50-1)*100</f>
        <v>530.43828540366928</v>
      </c>
      <c r="P50" s="524"/>
      <c r="Q50" s="472"/>
      <c r="R50" s="480"/>
      <c r="S50" s="480"/>
      <c r="T50" s="480"/>
      <c r="U50" s="480"/>
    </row>
    <row r="51" spans="2:21" s="494" customFormat="1" ht="8.25" customHeight="1">
      <c r="B51" s="527"/>
      <c r="C51" s="495"/>
      <c r="D51" s="492"/>
      <c r="E51" s="551"/>
      <c r="F51" s="493"/>
      <c r="G51" s="493"/>
      <c r="H51" s="493"/>
      <c r="I51" s="480"/>
      <c r="J51" s="493"/>
      <c r="K51" s="551"/>
      <c r="L51" s="493"/>
      <c r="M51" s="493"/>
      <c r="N51" s="493"/>
      <c r="O51" s="480"/>
      <c r="P51" s="524"/>
      <c r="Q51" s="472"/>
      <c r="R51" s="480"/>
      <c r="S51" s="480"/>
      <c r="T51" s="480"/>
      <c r="U51" s="480"/>
    </row>
    <row r="52" spans="2:21" s="494" customFormat="1" ht="15.75" customHeight="1">
      <c r="B52" s="527"/>
      <c r="C52" s="671" t="s">
        <v>166</v>
      </c>
      <c r="D52" s="667"/>
      <c r="E52" s="672">
        <v>12.81</v>
      </c>
      <c r="F52" s="669"/>
      <c r="G52" s="673">
        <v>11.8</v>
      </c>
      <c r="H52" s="673"/>
      <c r="I52" s="507">
        <f>(E52/G52-1)*100</f>
        <v>8.559322033898308</v>
      </c>
      <c r="J52" s="669"/>
      <c r="K52" s="672">
        <v>13.26</v>
      </c>
      <c r="L52" s="669"/>
      <c r="M52" s="673">
        <v>11.98</v>
      </c>
      <c r="N52" s="669"/>
      <c r="O52" s="507">
        <f>(K52/M52-1)*100</f>
        <v>10.684474123539234</v>
      </c>
      <c r="P52" s="524"/>
      <c r="Q52" s="472"/>
      <c r="R52" s="480"/>
      <c r="S52" s="480"/>
      <c r="T52" s="480"/>
      <c r="U52" s="480"/>
    </row>
    <row r="53" spans="2:21" s="494" customFormat="1" ht="14.25" customHeight="1" thickBot="1">
      <c r="B53" s="527"/>
      <c r="C53" s="495"/>
      <c r="D53" s="492"/>
      <c r="E53" s="617"/>
      <c r="F53" s="493"/>
      <c r="G53" s="493"/>
      <c r="H53" s="493"/>
      <c r="I53" s="480"/>
      <c r="J53" s="493"/>
      <c r="K53" s="617"/>
      <c r="L53" s="493"/>
      <c r="M53" s="493"/>
      <c r="N53" s="493"/>
      <c r="O53" s="493"/>
      <c r="P53" s="528"/>
      <c r="Q53" s="493"/>
      <c r="R53" s="493"/>
      <c r="S53" s="493"/>
      <c r="T53" s="493"/>
      <c r="U53" s="493"/>
    </row>
    <row r="54" spans="2:21" s="494" customFormat="1" ht="15" customHeight="1">
      <c r="B54" s="527"/>
      <c r="C54" s="495"/>
      <c r="D54" s="492"/>
      <c r="E54" s="530"/>
      <c r="F54" s="530"/>
      <c r="G54" s="530"/>
      <c r="H54" s="530"/>
      <c r="I54" s="530"/>
      <c r="J54" s="530"/>
      <c r="K54" s="530"/>
      <c r="L54" s="493"/>
      <c r="M54" s="493"/>
      <c r="N54" s="493"/>
      <c r="O54" s="493"/>
      <c r="P54" s="528"/>
      <c r="Q54" s="493"/>
      <c r="R54" s="493"/>
      <c r="S54" s="493"/>
      <c r="T54" s="493"/>
      <c r="U54" s="493"/>
    </row>
    <row r="55" spans="2:21" s="494" customFormat="1" ht="15.75" customHeight="1">
      <c r="B55" s="527"/>
      <c r="C55" s="529" t="s">
        <v>170</v>
      </c>
      <c r="D55" s="530"/>
      <c r="E55" s="530"/>
      <c r="F55" s="530"/>
      <c r="G55" s="530"/>
      <c r="H55" s="530"/>
      <c r="I55" s="530"/>
      <c r="J55" s="530"/>
      <c r="K55" s="530"/>
      <c r="L55" s="530"/>
      <c r="M55" s="530"/>
      <c r="N55" s="530"/>
      <c r="O55" s="493"/>
      <c r="P55" s="528"/>
      <c r="Q55" s="493"/>
      <c r="R55" s="493"/>
      <c r="S55" s="493"/>
      <c r="T55" s="493"/>
      <c r="U55" s="493"/>
    </row>
    <row r="56" spans="2:21" s="494" customFormat="1" ht="33" customHeight="1">
      <c r="B56" s="527"/>
      <c r="C56" s="1705" t="s">
        <v>825</v>
      </c>
      <c r="D56" s="1705"/>
      <c r="E56" s="1705"/>
      <c r="F56" s="1705"/>
      <c r="G56" s="1705"/>
      <c r="H56" s="1705"/>
      <c r="I56" s="1705"/>
      <c r="J56" s="1705"/>
      <c r="K56" s="1705"/>
      <c r="L56" s="1705"/>
      <c r="M56" s="1705"/>
      <c r="N56" s="1705"/>
      <c r="O56" s="1705"/>
      <c r="P56" s="531"/>
      <c r="Q56" s="496"/>
      <c r="R56" s="496"/>
      <c r="S56" s="496"/>
      <c r="T56" s="496"/>
      <c r="U56" s="497"/>
    </row>
    <row r="57" spans="2:21" s="494" customFormat="1" ht="33.75" customHeight="1">
      <c r="B57" s="527"/>
      <c r="C57" s="1703" t="s">
        <v>819</v>
      </c>
      <c r="D57" s="1703"/>
      <c r="E57" s="1703"/>
      <c r="F57" s="1703"/>
      <c r="G57" s="1703"/>
      <c r="H57" s="1703"/>
      <c r="I57" s="1703"/>
      <c r="J57" s="1703"/>
      <c r="K57" s="1703"/>
      <c r="L57" s="1703"/>
      <c r="M57" s="1703"/>
      <c r="N57" s="1703"/>
      <c r="O57" s="1703"/>
      <c r="P57" s="528"/>
      <c r="Q57" s="493"/>
      <c r="R57" s="493"/>
      <c r="S57" s="493"/>
      <c r="T57" s="493"/>
      <c r="U57" s="493"/>
    </row>
    <row r="58" spans="2:21" s="494" customFormat="1" ht="33" customHeight="1">
      <c r="B58" s="527"/>
      <c r="C58" s="1702" t="s">
        <v>820</v>
      </c>
      <c r="D58" s="1702"/>
      <c r="E58" s="1702"/>
      <c r="F58" s="1702"/>
      <c r="G58" s="1702"/>
      <c r="H58" s="1702"/>
      <c r="I58" s="1702"/>
      <c r="J58" s="1702"/>
      <c r="K58" s="1702"/>
      <c r="L58" s="1702"/>
      <c r="M58" s="1702"/>
      <c r="N58" s="1702"/>
      <c r="O58" s="1702"/>
      <c r="P58" s="528"/>
      <c r="Q58" s="493"/>
      <c r="R58" s="493"/>
      <c r="S58" s="493"/>
      <c r="T58" s="493"/>
      <c r="U58" s="493"/>
    </row>
    <row r="59" spans="2:21" s="494" customFormat="1" ht="21.75" customHeight="1">
      <c r="B59" s="527"/>
      <c r="D59" s="530"/>
      <c r="E59" s="530"/>
      <c r="F59" s="530"/>
      <c r="G59" s="530"/>
      <c r="H59" s="530"/>
      <c r="I59" s="530"/>
      <c r="J59" s="530"/>
      <c r="K59" s="530"/>
      <c r="L59" s="530"/>
      <c r="M59" s="530"/>
      <c r="N59" s="530"/>
      <c r="O59" s="493"/>
      <c r="P59" s="528"/>
      <c r="Q59" s="493"/>
      <c r="R59" s="493"/>
      <c r="S59" s="493"/>
      <c r="T59" s="493"/>
      <c r="U59" s="493"/>
    </row>
    <row r="60" spans="2:21" s="494" customFormat="1" ht="16.5">
      <c r="B60" s="527"/>
      <c r="C60" s="532" t="s">
        <v>828</v>
      </c>
      <c r="E60" s="530"/>
      <c r="F60" s="530"/>
      <c r="G60" s="530"/>
      <c r="H60" s="530"/>
      <c r="I60" s="532" t="s">
        <v>827</v>
      </c>
      <c r="J60" s="530"/>
      <c r="K60" s="530"/>
      <c r="L60" s="530"/>
      <c r="M60" s="530"/>
      <c r="N60" s="530"/>
      <c r="O60" s="493"/>
      <c r="P60" s="528"/>
      <c r="Q60" s="493"/>
      <c r="R60" s="493"/>
      <c r="S60" s="493"/>
      <c r="T60" s="493"/>
      <c r="U60" s="493"/>
    </row>
    <row r="61" spans="2:21" s="494" customFormat="1" ht="18" customHeight="1">
      <c r="B61" s="527"/>
      <c r="C61" s="533" t="s">
        <v>513</v>
      </c>
      <c r="E61" s="530"/>
      <c r="F61" s="530"/>
      <c r="G61" s="530"/>
      <c r="H61" s="530"/>
      <c r="I61" s="533" t="s">
        <v>512</v>
      </c>
      <c r="J61" s="530"/>
      <c r="K61" s="530"/>
      <c r="L61" s="530"/>
      <c r="M61" s="530"/>
      <c r="N61" s="530"/>
      <c r="O61" s="493"/>
      <c r="P61" s="528"/>
      <c r="Q61" s="493"/>
      <c r="R61" s="493"/>
      <c r="S61" s="493"/>
      <c r="T61" s="493"/>
      <c r="U61" s="493"/>
    </row>
    <row r="62" spans="2:21" s="494" customFormat="1" ht="15.75" customHeight="1">
      <c r="B62" s="527"/>
      <c r="C62" s="534" t="s">
        <v>175</v>
      </c>
      <c r="D62" s="498"/>
      <c r="E62" s="530"/>
      <c r="F62" s="530"/>
      <c r="G62" s="530"/>
      <c r="H62" s="530"/>
      <c r="I62" s="534" t="s">
        <v>172</v>
      </c>
      <c r="J62" s="530"/>
      <c r="K62" s="530"/>
      <c r="L62" s="530"/>
      <c r="M62" s="530"/>
      <c r="N62" s="530"/>
      <c r="O62" s="493"/>
      <c r="P62" s="528"/>
      <c r="Q62" s="493"/>
      <c r="R62" s="493"/>
      <c r="S62" s="493"/>
      <c r="T62" s="493"/>
      <c r="U62" s="493"/>
    </row>
    <row r="63" spans="2:21" s="494" customFormat="1" ht="15.75" customHeight="1">
      <c r="B63" s="527"/>
      <c r="C63" s="530" t="s">
        <v>835</v>
      </c>
      <c r="D63" s="498"/>
      <c r="E63" s="530"/>
      <c r="F63" s="530"/>
      <c r="G63" s="530"/>
      <c r="H63" s="530"/>
      <c r="I63" s="530" t="s">
        <v>835</v>
      </c>
      <c r="J63" s="530"/>
      <c r="K63" s="530"/>
      <c r="L63" s="530"/>
      <c r="M63" s="530"/>
      <c r="N63" s="530"/>
      <c r="O63" s="493"/>
      <c r="P63" s="528"/>
      <c r="Q63" s="493"/>
      <c r="R63" s="493"/>
      <c r="S63" s="493"/>
      <c r="T63" s="493"/>
      <c r="U63" s="493"/>
    </row>
    <row r="64" spans="2:21" s="494" customFormat="1" ht="15.75" customHeight="1">
      <c r="B64" s="527"/>
      <c r="C64" s="534"/>
      <c r="D64" s="498"/>
      <c r="E64" s="530"/>
      <c r="F64" s="530"/>
      <c r="G64" s="530"/>
      <c r="H64" s="530"/>
      <c r="I64" s="534"/>
      <c r="J64" s="530"/>
      <c r="K64" s="530"/>
      <c r="L64" s="530"/>
      <c r="M64" s="530"/>
      <c r="N64" s="530"/>
      <c r="O64" s="493"/>
      <c r="P64" s="528"/>
      <c r="Q64" s="493"/>
      <c r="R64" s="493"/>
      <c r="S64" s="493"/>
      <c r="T64" s="493"/>
      <c r="U64" s="493"/>
    </row>
    <row r="65" spans="2:21" s="494" customFormat="1" ht="18" customHeight="1">
      <c r="B65" s="527"/>
      <c r="C65" s="1388" t="s">
        <v>177</v>
      </c>
      <c r="D65" s="498"/>
      <c r="E65" s="530"/>
      <c r="F65" s="530"/>
      <c r="G65" s="530"/>
      <c r="H65" s="530"/>
      <c r="I65" s="534"/>
      <c r="J65" s="530"/>
      <c r="K65" s="530"/>
      <c r="L65" s="530"/>
      <c r="M65" s="530"/>
      <c r="N65" s="530"/>
      <c r="O65" s="493"/>
      <c r="P65" s="528"/>
      <c r="Q65" s="493"/>
      <c r="R65" s="493"/>
      <c r="S65" s="493"/>
      <c r="T65" s="493"/>
      <c r="U65" s="493"/>
    </row>
    <row r="66" spans="2:21" s="494" customFormat="1" ht="6" customHeight="1" thickBot="1">
      <c r="B66" s="536"/>
      <c r="C66" s="537"/>
      <c r="D66" s="538"/>
      <c r="E66" s="539"/>
      <c r="F66" s="539"/>
      <c r="G66" s="539"/>
      <c r="H66" s="539"/>
      <c r="I66" s="540"/>
      <c r="J66" s="539"/>
      <c r="K66" s="539"/>
      <c r="L66" s="539"/>
      <c r="M66" s="539"/>
      <c r="N66" s="539"/>
      <c r="O66" s="539"/>
      <c r="P66" s="541"/>
      <c r="Q66" s="493"/>
      <c r="R66" s="493"/>
      <c r="S66" s="493"/>
      <c r="T66" s="493"/>
      <c r="U66" s="493"/>
    </row>
    <row r="67" spans="2:21" s="494" customFormat="1" ht="16.5">
      <c r="C67" s="491"/>
      <c r="D67" s="492"/>
      <c r="E67" s="493"/>
      <c r="F67" s="493"/>
      <c r="G67" s="493"/>
      <c r="H67" s="493"/>
      <c r="I67" s="493"/>
      <c r="J67" s="493"/>
      <c r="K67" s="493"/>
      <c r="L67" s="493"/>
      <c r="M67" s="493"/>
      <c r="N67" s="493"/>
      <c r="O67" s="493"/>
      <c r="P67" s="493"/>
      <c r="Q67" s="493"/>
      <c r="R67" s="493"/>
      <c r="S67" s="493"/>
      <c r="T67" s="493"/>
      <c r="U67" s="493"/>
    </row>
    <row r="68" spans="2:21" s="494" customFormat="1" ht="16.5">
      <c r="C68" s="491"/>
      <c r="D68" s="492"/>
      <c r="E68" s="493"/>
      <c r="F68" s="493"/>
      <c r="G68" s="493"/>
      <c r="H68" s="493"/>
      <c r="I68" s="493"/>
      <c r="J68" s="493"/>
      <c r="K68" s="493"/>
      <c r="L68" s="493"/>
      <c r="M68" s="493"/>
      <c r="N68" s="493"/>
      <c r="O68" s="493"/>
      <c r="P68" s="493"/>
      <c r="Q68" s="493"/>
      <c r="R68" s="493"/>
      <c r="S68" s="493"/>
      <c r="T68" s="493"/>
      <c r="U68" s="493"/>
    </row>
  </sheetData>
  <mergeCells count="8">
    <mergeCell ref="C58:O58"/>
    <mergeCell ref="C57:O57"/>
    <mergeCell ref="B1:P1"/>
    <mergeCell ref="C56:O56"/>
    <mergeCell ref="E6:I6"/>
    <mergeCell ref="K6:O6"/>
    <mergeCell ref="B2:P2"/>
    <mergeCell ref="B3:P3"/>
  </mergeCells>
  <pageMargins left="0.5" right="0.25" top="0.36" bottom="0" header="0.3" footer="0.01"/>
  <pageSetup paperSize="9" scale="71" orientation="portrait" r:id="rId1"/>
</worksheet>
</file>

<file path=xl/worksheets/sheet40.xml><?xml version="1.0" encoding="utf-8"?>
<worksheet xmlns="http://schemas.openxmlformats.org/spreadsheetml/2006/main" xmlns:r="http://schemas.openxmlformats.org/officeDocument/2006/relationships">
  <dimension ref="A1:AB142"/>
  <sheetViews>
    <sheetView workbookViewId="0">
      <pane xSplit="2" ySplit="7" topLeftCell="C128" activePane="bottomRight" state="frozen"/>
      <selection activeCell="C8" sqref="C8"/>
      <selection pane="topRight" activeCell="C8" sqref="C8"/>
      <selection pane="bottomLeft" activeCell="C8" sqref="C8"/>
      <selection pane="bottomRight" activeCell="C8" sqref="C8"/>
    </sheetView>
  </sheetViews>
  <sheetFormatPr defaultColWidth="19.7109375" defaultRowHeight="15.75"/>
  <cols>
    <col min="1" max="1" width="19.7109375" style="75"/>
    <col min="2" max="2" width="18.140625" style="73" customWidth="1"/>
    <col min="3" max="3" width="18.7109375" style="74" customWidth="1"/>
    <col min="4" max="4" width="0.85546875" style="74" customWidth="1"/>
    <col min="5" max="5" width="17.85546875" style="74" customWidth="1"/>
    <col min="6" max="6" width="1" style="74" customWidth="1"/>
    <col min="7" max="7" width="16.42578125" style="74" bestFit="1" customWidth="1"/>
    <col min="8" max="8" width="17.140625" style="74" customWidth="1"/>
    <col min="9" max="9" width="0.85546875" style="74" customWidth="1"/>
    <col min="10" max="10" width="18.7109375" style="74" hidden="1" customWidth="1"/>
    <col min="11" max="11" width="0.85546875" style="74" hidden="1" customWidth="1"/>
    <col min="12" max="12" width="18.28515625" style="74" hidden="1" customWidth="1"/>
    <col min="13" max="13" width="0.85546875" style="74" hidden="1" customWidth="1"/>
    <col min="14" max="14" width="17" style="74" hidden="1" customWidth="1"/>
    <col min="15" max="15" width="18.140625" style="75" bestFit="1" customWidth="1"/>
    <col min="16" max="16" width="0.85546875" style="75" customWidth="1"/>
    <col min="17" max="17" width="19.7109375" style="75" bestFit="1" customWidth="1"/>
    <col min="18" max="18" width="0.85546875" style="75" customWidth="1"/>
    <col min="19" max="19" width="16.42578125" style="75" customWidth="1"/>
    <col min="20" max="20" width="19.7109375" style="276"/>
    <col min="21" max="22" width="19.7109375" style="76"/>
    <col min="23" max="23" width="15.85546875" style="76" customWidth="1"/>
    <col min="24" max="16384" width="19.7109375" style="76"/>
  </cols>
  <sheetData>
    <row r="1" spans="1:20">
      <c r="C1" s="74">
        <f>C106</f>
        <v>-47260902479</v>
      </c>
      <c r="E1" s="74">
        <f>E106</f>
        <v>-43669277913.179993</v>
      </c>
      <c r="G1" s="74">
        <f>G106</f>
        <v>3591624565.8200002</v>
      </c>
      <c r="H1" s="74">
        <f>H106</f>
        <v>3689054721</v>
      </c>
      <c r="O1" s="74">
        <f>O106</f>
        <v>-46836870469</v>
      </c>
      <c r="Q1" s="74">
        <f>Q106</f>
        <v>-43297068449.179993</v>
      </c>
      <c r="S1" s="74">
        <f>S106</f>
        <v>3539802019.8200002</v>
      </c>
      <c r="T1" s="74">
        <f>T106</f>
        <v>3232353902</v>
      </c>
    </row>
    <row r="2" spans="1:20">
      <c r="A2" s="1787" t="s">
        <v>94</v>
      </c>
      <c r="B2" s="1788"/>
      <c r="C2" s="1788"/>
      <c r="D2" s="1788"/>
      <c r="E2" s="1788"/>
      <c r="F2" s="1788"/>
      <c r="G2" s="1788"/>
      <c r="H2" s="1788"/>
      <c r="I2" s="1788"/>
      <c r="J2" s="1788"/>
      <c r="K2" s="1788"/>
      <c r="L2" s="1788"/>
      <c r="M2" s="1788"/>
      <c r="N2" s="1788"/>
      <c r="O2" s="1788"/>
      <c r="P2" s="1788"/>
      <c r="Q2" s="1788"/>
      <c r="R2" s="1788"/>
      <c r="S2" s="1788"/>
    </row>
    <row r="3" spans="1:20">
      <c r="A3" s="77"/>
      <c r="B3" s="78"/>
      <c r="C3" s="79"/>
      <c r="D3" s="79"/>
      <c r="E3" s="79"/>
      <c r="F3" s="79"/>
      <c r="G3" s="79"/>
      <c r="H3" s="79"/>
      <c r="I3" s="79"/>
      <c r="J3" s="79"/>
      <c r="K3" s="79"/>
      <c r="L3" s="79"/>
      <c r="M3" s="79"/>
      <c r="N3" s="79"/>
      <c r="O3" s="77"/>
      <c r="P3" s="77"/>
      <c r="Q3" s="77"/>
      <c r="R3" s="77"/>
      <c r="S3" s="77"/>
    </row>
    <row r="4" spans="1:20" ht="16.5" thickBot="1">
      <c r="A4" s="80"/>
      <c r="B4" s="1184"/>
      <c r="C4" s="1790" t="s">
        <v>77</v>
      </c>
      <c r="D4" s="1790"/>
      <c r="E4" s="1791"/>
      <c r="F4" s="1791"/>
      <c r="G4" s="1791"/>
      <c r="H4" s="81"/>
      <c r="I4" s="81"/>
      <c r="J4" s="81"/>
      <c r="K4" s="81"/>
      <c r="L4" s="81"/>
      <c r="M4" s="81"/>
      <c r="N4" s="81"/>
      <c r="O4" s="1792" t="s">
        <v>78</v>
      </c>
      <c r="P4" s="1792"/>
      <c r="Q4" s="1792"/>
      <c r="R4" s="1792"/>
      <c r="S4" s="1792"/>
    </row>
    <row r="5" spans="1:20">
      <c r="A5" s="80" t="s">
        <v>51</v>
      </c>
      <c r="B5" s="1184"/>
      <c r="C5" s="117" t="str">
        <f>'BS (3)'!C5</f>
        <v>30.06.2014</v>
      </c>
      <c r="D5" s="81"/>
      <c r="E5" s="81" t="str">
        <f>'BS (3)'!E5</f>
        <v>31.03.2014</v>
      </c>
      <c r="F5" s="81"/>
      <c r="G5" s="81" t="s">
        <v>391</v>
      </c>
      <c r="H5" s="81"/>
      <c r="I5" s="81"/>
      <c r="J5" s="81" t="s">
        <v>352</v>
      </c>
      <c r="K5" s="81"/>
      <c r="L5" s="81" t="s">
        <v>410</v>
      </c>
      <c r="M5" s="81"/>
      <c r="N5" s="81" t="s">
        <v>403</v>
      </c>
      <c r="O5" s="117" t="str">
        <f>'BS (3)'!N5</f>
        <v>30.06.2014</v>
      </c>
      <c r="P5" s="81"/>
      <c r="Q5" s="81" t="str">
        <f>'BS (3)'!P5</f>
        <v>31.03.2014</v>
      </c>
      <c r="R5" s="81"/>
      <c r="S5" s="81" t="s">
        <v>391</v>
      </c>
    </row>
    <row r="6" spans="1:20">
      <c r="A6" s="80"/>
      <c r="B6" s="1175"/>
      <c r="C6" s="117" t="s">
        <v>150</v>
      </c>
      <c r="D6" s="81"/>
      <c r="E6" s="81" t="s">
        <v>150</v>
      </c>
      <c r="F6" s="81"/>
      <c r="G6" s="81"/>
      <c r="H6" s="81"/>
      <c r="I6" s="81"/>
      <c r="J6" s="81"/>
      <c r="K6" s="81"/>
      <c r="L6" s="81"/>
      <c r="M6" s="81"/>
      <c r="N6" s="81"/>
      <c r="O6" s="117" t="s">
        <v>150</v>
      </c>
      <c r="P6" s="81"/>
      <c r="Q6" s="81" t="s">
        <v>150</v>
      </c>
      <c r="R6" s="81"/>
      <c r="S6" s="81"/>
    </row>
    <row r="7" spans="1:20" ht="16.5" thickBot="1">
      <c r="A7" s="103"/>
      <c r="B7" s="1177"/>
      <c r="C7" s="118" t="s">
        <v>148</v>
      </c>
      <c r="D7" s="1176"/>
      <c r="E7" s="1176" t="s">
        <v>163</v>
      </c>
      <c r="F7" s="1176"/>
      <c r="G7" s="1176"/>
      <c r="H7" s="1176"/>
      <c r="I7" s="1176"/>
      <c r="J7" s="1176"/>
      <c r="K7" s="1176"/>
      <c r="L7" s="1176"/>
      <c r="M7" s="1176"/>
      <c r="N7" s="1176"/>
      <c r="O7" s="118" t="s">
        <v>148</v>
      </c>
      <c r="P7" s="1176"/>
      <c r="Q7" s="1176" t="s">
        <v>163</v>
      </c>
      <c r="R7" s="1176"/>
      <c r="S7" s="1176"/>
    </row>
    <row r="8" spans="1:20">
      <c r="A8" s="80" t="s">
        <v>95</v>
      </c>
      <c r="B8" s="78"/>
      <c r="C8" s="119"/>
      <c r="D8" s="79"/>
      <c r="E8" s="79"/>
      <c r="F8" s="79"/>
      <c r="G8" s="79"/>
      <c r="H8" s="79"/>
      <c r="I8" s="79"/>
      <c r="J8" s="79"/>
      <c r="K8" s="79"/>
      <c r="L8" s="79"/>
      <c r="M8" s="79"/>
      <c r="N8" s="79"/>
      <c r="O8" s="119"/>
      <c r="P8" s="79"/>
      <c r="Q8" s="79"/>
      <c r="R8" s="79"/>
      <c r="S8" s="79"/>
    </row>
    <row r="9" spans="1:20" s="84" customFormat="1">
      <c r="A9" s="77" t="s">
        <v>436</v>
      </c>
      <c r="B9" s="78"/>
      <c r="C9" s="119">
        <f>'BS (3)'!C9</f>
        <v>5242184312</v>
      </c>
      <c r="D9" s="79"/>
      <c r="E9" s="79">
        <f>'BS (3)'!E9</f>
        <v>2392129012</v>
      </c>
      <c r="F9" s="79"/>
      <c r="G9" s="79">
        <f>E9-C9</f>
        <v>-2850055300</v>
      </c>
      <c r="H9" s="79">
        <f>G9</f>
        <v>-2850055300</v>
      </c>
      <c r="I9" s="79"/>
      <c r="J9" s="79">
        <v>211397985.76999974</v>
      </c>
      <c r="K9" s="79"/>
      <c r="L9" s="79">
        <v>301182102.54000002</v>
      </c>
      <c r="M9" s="79"/>
      <c r="N9" s="79">
        <v>445664142</v>
      </c>
      <c r="O9" s="119">
        <f>'BS (3)'!N9</f>
        <v>5454907220</v>
      </c>
      <c r="P9" s="79"/>
      <c r="Q9" s="79">
        <f>'BS (3)'!P9</f>
        <v>2751513454</v>
      </c>
      <c r="R9" s="79"/>
      <c r="S9" s="79">
        <f>Q9-O9</f>
        <v>-2703393766</v>
      </c>
      <c r="T9" s="1216">
        <f>S9</f>
        <v>-2703393766</v>
      </c>
    </row>
    <row r="10" spans="1:20" s="84" customFormat="1">
      <c r="A10" s="77" t="s">
        <v>553</v>
      </c>
      <c r="B10" s="78"/>
      <c r="C10" s="119">
        <f>'BS (3)'!C10</f>
        <v>316970235</v>
      </c>
      <c r="D10" s="79"/>
      <c r="E10" s="79">
        <f>'BS (3)'!E10</f>
        <v>598392048</v>
      </c>
      <c r="F10" s="79"/>
      <c r="G10" s="79">
        <f t="shared" ref="G10:G46" si="0">E10-C10</f>
        <v>281421813</v>
      </c>
      <c r="H10" s="1188">
        <f>G10</f>
        <v>281421813</v>
      </c>
      <c r="I10" s="79"/>
      <c r="J10" s="79">
        <v>211397985.76999974</v>
      </c>
      <c r="K10" s="79"/>
      <c r="L10" s="79">
        <v>301182102.54000002</v>
      </c>
      <c r="M10" s="79"/>
      <c r="N10" s="79">
        <v>445664142</v>
      </c>
      <c r="O10" s="119">
        <f>'BS (3)'!N10</f>
        <v>1785034146</v>
      </c>
      <c r="P10" s="79"/>
      <c r="Q10" s="79">
        <f>'BS (3)'!P10</f>
        <v>1894012100</v>
      </c>
      <c r="R10" s="79"/>
      <c r="S10" s="79">
        <f t="shared" ref="S10:S46" si="1">Q10-O10</f>
        <v>108977954</v>
      </c>
      <c r="T10" s="1216">
        <f t="shared" ref="T10:T11" si="2">S10</f>
        <v>108977954</v>
      </c>
    </row>
    <row r="11" spans="1:20" s="84" customFormat="1">
      <c r="A11" s="77" t="s">
        <v>438</v>
      </c>
      <c r="B11" s="78"/>
      <c r="C11" s="119">
        <f>'BS (3)'!C11</f>
        <v>0</v>
      </c>
      <c r="D11" s="79"/>
      <c r="E11" s="79">
        <f>'BS (3)'!E11</f>
        <v>0</v>
      </c>
      <c r="F11" s="79"/>
      <c r="G11" s="79">
        <f t="shared" si="0"/>
        <v>0</v>
      </c>
      <c r="H11" s="1188">
        <f>G11</f>
        <v>0</v>
      </c>
      <c r="I11" s="79"/>
      <c r="J11" s="79">
        <v>211397985.76999974</v>
      </c>
      <c r="K11" s="79"/>
      <c r="L11" s="79">
        <v>301182102.54000002</v>
      </c>
      <c r="M11" s="79"/>
      <c r="N11" s="79">
        <v>445664142</v>
      </c>
      <c r="O11" s="119">
        <f>'BS (3)'!N11</f>
        <v>0</v>
      </c>
      <c r="P11" s="79"/>
      <c r="Q11" s="79">
        <f>'BS (3)'!P11</f>
        <v>0</v>
      </c>
      <c r="R11" s="79"/>
      <c r="S11" s="79">
        <f t="shared" si="1"/>
        <v>0</v>
      </c>
      <c r="T11" s="1216">
        <f t="shared" si="2"/>
        <v>0</v>
      </c>
    </row>
    <row r="12" spans="1:20">
      <c r="A12" s="77" t="s">
        <v>178</v>
      </c>
      <c r="B12" s="78"/>
      <c r="C12" s="119">
        <f>'BS (3)'!C12</f>
        <v>208545971</v>
      </c>
      <c r="D12" s="79"/>
      <c r="E12" s="79">
        <f>'BS (3)'!E12</f>
        <v>161867816</v>
      </c>
      <c r="F12" s="79"/>
      <c r="G12" s="79">
        <f t="shared" si="0"/>
        <v>-46678155</v>
      </c>
      <c r="H12" s="79"/>
      <c r="I12" s="79"/>
      <c r="J12" s="79">
        <v>211397985.76999974</v>
      </c>
      <c r="K12" s="79"/>
      <c r="L12" s="79">
        <v>301182102.54000002</v>
      </c>
      <c r="M12" s="79"/>
      <c r="N12" s="79">
        <v>445664142</v>
      </c>
      <c r="O12" s="119">
        <f>'BS (3)'!N12</f>
        <v>457768643</v>
      </c>
      <c r="P12" s="79"/>
      <c r="Q12" s="79">
        <f>'BS (3)'!P12</f>
        <v>294289213</v>
      </c>
      <c r="R12" s="79"/>
      <c r="S12" s="79">
        <f t="shared" si="1"/>
        <v>-163479430</v>
      </c>
    </row>
    <row r="13" spans="1:20">
      <c r="A13" s="77"/>
      <c r="B13" s="78"/>
      <c r="C13" s="119"/>
      <c r="D13" s="79"/>
      <c r="E13" s="79"/>
      <c r="F13" s="79"/>
      <c r="G13" s="79"/>
      <c r="H13" s="1191">
        <v>-15232984.6</v>
      </c>
      <c r="I13" s="79"/>
      <c r="J13" s="79"/>
      <c r="K13" s="79"/>
      <c r="L13" s="79"/>
      <c r="M13" s="79"/>
      <c r="N13" s="79"/>
      <c r="O13" s="119"/>
      <c r="P13" s="79"/>
      <c r="Q13" s="79"/>
      <c r="R13" s="79"/>
      <c r="S13" s="79"/>
      <c r="T13" s="1217">
        <v>-30849367.600000001</v>
      </c>
    </row>
    <row r="14" spans="1:20">
      <c r="A14" s="77"/>
      <c r="B14" s="78"/>
      <c r="C14" s="119"/>
      <c r="D14" s="79"/>
      <c r="E14" s="79"/>
      <c r="F14" s="79"/>
      <c r="G14" s="79"/>
      <c r="H14" s="1188">
        <f>G12-H13</f>
        <v>-31445170.399999999</v>
      </c>
      <c r="I14" s="79"/>
      <c r="J14" s="79"/>
      <c r="K14" s="79"/>
      <c r="L14" s="79"/>
      <c r="M14" s="79"/>
      <c r="N14" s="79"/>
      <c r="O14" s="119"/>
      <c r="P14" s="79"/>
      <c r="Q14" s="79"/>
      <c r="R14" s="79"/>
      <c r="S14" s="79"/>
      <c r="T14" s="1218">
        <f>S12-T13</f>
        <v>-132630062.40000001</v>
      </c>
    </row>
    <row r="15" spans="1:20">
      <c r="A15" s="77"/>
      <c r="B15" s="78"/>
      <c r="C15" s="119"/>
      <c r="D15" s="79"/>
      <c r="E15" s="79"/>
      <c r="F15" s="79"/>
      <c r="G15" s="79"/>
      <c r="H15" s="79"/>
      <c r="I15" s="79"/>
      <c r="J15" s="79"/>
      <c r="K15" s="79"/>
      <c r="L15" s="79"/>
      <c r="M15" s="79"/>
      <c r="N15" s="79"/>
      <c r="O15" s="119"/>
      <c r="P15" s="79"/>
      <c r="Q15" s="79"/>
      <c r="R15" s="79"/>
      <c r="S15" s="79"/>
    </row>
    <row r="16" spans="1:20">
      <c r="A16" s="77" t="s">
        <v>97</v>
      </c>
      <c r="B16" s="78"/>
      <c r="C16" s="119">
        <f>'BS (3)'!C13</f>
        <v>46920994906</v>
      </c>
      <c r="D16" s="79"/>
      <c r="E16" s="79">
        <f>'BS (3)'!E13</f>
        <v>47669793811</v>
      </c>
      <c r="F16" s="79"/>
      <c r="G16" s="79">
        <f t="shared" si="0"/>
        <v>748798905</v>
      </c>
      <c r="H16" s="79"/>
      <c r="I16" s="79"/>
      <c r="J16" s="79">
        <v>211397985.76999974</v>
      </c>
      <c r="K16" s="79"/>
      <c r="L16" s="79">
        <v>301182102.54000002</v>
      </c>
      <c r="M16" s="79"/>
      <c r="N16" s="79">
        <v>445664142</v>
      </c>
      <c r="O16" s="119">
        <f>'BS (3)'!N13</f>
        <v>46920994906</v>
      </c>
      <c r="P16" s="79"/>
      <c r="Q16" s="79">
        <f>'BS (3)'!P13</f>
        <v>47669793811</v>
      </c>
      <c r="R16" s="79"/>
      <c r="S16" s="79">
        <f t="shared" si="1"/>
        <v>748798905</v>
      </c>
    </row>
    <row r="17" spans="1:20">
      <c r="A17" s="77"/>
      <c r="B17" s="78"/>
      <c r="C17" s="119"/>
      <c r="D17" s="79"/>
      <c r="E17" s="79"/>
      <c r="F17" s="79"/>
      <c r="G17" s="79"/>
      <c r="H17" s="1188">
        <f>'P &amp; L (C &amp; G)'!C18</f>
        <v>0</v>
      </c>
      <c r="I17" s="79"/>
      <c r="J17" s="79"/>
      <c r="K17" s="79"/>
      <c r="L17" s="79"/>
      <c r="M17" s="79"/>
      <c r="N17" s="79"/>
      <c r="O17" s="119"/>
      <c r="P17" s="79"/>
      <c r="Q17" s="79"/>
      <c r="R17" s="79"/>
      <c r="S17" s="79"/>
      <c r="T17" s="276">
        <f>'P &amp; L (C &amp; G)'!I18</f>
        <v>0</v>
      </c>
    </row>
    <row r="18" spans="1:20">
      <c r="A18" s="77"/>
      <c r="B18" s="78"/>
      <c r="C18" s="119"/>
      <c r="D18" s="79"/>
      <c r="E18" s="79"/>
      <c r="F18" s="79"/>
      <c r="G18" s="79"/>
      <c r="H18" s="1191"/>
      <c r="I18" s="79"/>
      <c r="J18" s="79"/>
      <c r="K18" s="79"/>
      <c r="L18" s="79"/>
      <c r="M18" s="79"/>
      <c r="N18" s="79"/>
      <c r="O18" s="119"/>
      <c r="P18" s="79"/>
      <c r="Q18" s="79"/>
      <c r="R18" s="79"/>
      <c r="S18" s="79"/>
      <c r="T18" s="1191"/>
    </row>
    <row r="19" spans="1:20">
      <c r="A19" s="77"/>
      <c r="B19" s="78"/>
      <c r="C19" s="119"/>
      <c r="D19" s="79"/>
      <c r="E19" s="79"/>
      <c r="F19" s="79"/>
      <c r="G19" s="79"/>
      <c r="H19" s="1188">
        <f>G16-H17-H18</f>
        <v>748798905</v>
      </c>
      <c r="I19" s="79"/>
      <c r="J19" s="79"/>
      <c r="K19" s="79"/>
      <c r="L19" s="79"/>
      <c r="M19" s="79"/>
      <c r="N19" s="79"/>
      <c r="O19" s="119"/>
      <c r="P19" s="79"/>
      <c r="Q19" s="79"/>
      <c r="R19" s="79"/>
      <c r="S19" s="79"/>
      <c r="T19" s="1188">
        <f>S16-T17-T18</f>
        <v>748798905</v>
      </c>
    </row>
    <row r="20" spans="1:20" s="75" customFormat="1">
      <c r="A20" s="77"/>
      <c r="B20" s="78"/>
      <c r="C20" s="79"/>
      <c r="D20" s="79"/>
      <c r="E20" s="79"/>
      <c r="F20" s="79"/>
      <c r="G20" s="79"/>
      <c r="H20" s="79"/>
      <c r="I20" s="79"/>
      <c r="J20" s="79"/>
      <c r="K20" s="79"/>
      <c r="L20" s="79"/>
      <c r="M20" s="79"/>
      <c r="N20" s="79"/>
      <c r="O20" s="79"/>
      <c r="P20" s="79"/>
      <c r="Q20" s="79"/>
      <c r="R20" s="79"/>
      <c r="S20" s="79"/>
      <c r="T20" s="79"/>
    </row>
    <row r="21" spans="1:20">
      <c r="A21" s="77" t="s">
        <v>439</v>
      </c>
      <c r="B21" s="78"/>
      <c r="C21" s="119">
        <f>'BS (3)'!C16</f>
        <v>0</v>
      </c>
      <c r="D21" s="79"/>
      <c r="E21" s="79">
        <f>'BS (3)'!E16</f>
        <v>0</v>
      </c>
      <c r="F21" s="79"/>
      <c r="G21" s="79">
        <f t="shared" si="0"/>
        <v>0</v>
      </c>
      <c r="H21" s="79"/>
      <c r="I21" s="79"/>
      <c r="J21" s="79">
        <v>211397985.76999974</v>
      </c>
      <c r="K21" s="79"/>
      <c r="L21" s="79">
        <v>301182102.54000002</v>
      </c>
      <c r="M21" s="79"/>
      <c r="N21" s="79">
        <v>445664142</v>
      </c>
      <c r="O21" s="119">
        <f>'BS (3)'!N16</f>
        <v>200708247</v>
      </c>
      <c r="P21" s="79"/>
      <c r="Q21" s="79">
        <f>'BS (3)'!P16</f>
        <v>87312908</v>
      </c>
      <c r="R21" s="79"/>
      <c r="S21" s="79">
        <f t="shared" si="1"/>
        <v>-113395339</v>
      </c>
      <c r="T21" s="276">
        <f>S21</f>
        <v>-113395339</v>
      </c>
    </row>
    <row r="22" spans="1:20">
      <c r="A22" s="77"/>
      <c r="B22" s="78"/>
      <c r="C22" s="119"/>
      <c r="D22" s="79"/>
      <c r="E22" s="79"/>
      <c r="F22" s="79"/>
      <c r="G22" s="79"/>
      <c r="H22" s="79"/>
      <c r="I22" s="79"/>
      <c r="J22" s="79"/>
      <c r="K22" s="79"/>
      <c r="L22" s="79"/>
      <c r="M22" s="79"/>
      <c r="N22" s="79"/>
      <c r="O22" s="119"/>
      <c r="P22" s="79"/>
      <c r="Q22" s="79"/>
      <c r="R22" s="79"/>
      <c r="S22" s="79"/>
    </row>
    <row r="23" spans="1:20">
      <c r="A23" s="77" t="s">
        <v>440</v>
      </c>
      <c r="B23" s="78"/>
      <c r="C23" s="119">
        <f>'BS (3)'!C17</f>
        <v>874879474</v>
      </c>
      <c r="D23" s="79"/>
      <c r="E23" s="79">
        <f>'BS (3)'!E17</f>
        <v>190341900</v>
      </c>
      <c r="F23" s="79"/>
      <c r="G23" s="79">
        <f t="shared" si="0"/>
        <v>-684537574</v>
      </c>
      <c r="H23" s="1194">
        <f>G23</f>
        <v>-684537574</v>
      </c>
      <c r="I23" s="79"/>
      <c r="J23" s="79">
        <v>211397985.76999974</v>
      </c>
      <c r="K23" s="79"/>
      <c r="L23" s="79">
        <v>301182102.54000002</v>
      </c>
      <c r="M23" s="79"/>
      <c r="N23" s="79">
        <v>445664142</v>
      </c>
      <c r="O23" s="119">
        <f>'BS (3)'!N17</f>
        <v>2028881748</v>
      </c>
      <c r="P23" s="79"/>
      <c r="Q23" s="79">
        <f>'BS (3)'!P17</f>
        <v>1331380321</v>
      </c>
      <c r="R23" s="79"/>
      <c r="S23" s="79">
        <f t="shared" si="1"/>
        <v>-697501427</v>
      </c>
      <c r="T23" s="1228">
        <f>-T102</f>
        <v>-159322441</v>
      </c>
    </row>
    <row r="24" spans="1:20" s="75" customFormat="1">
      <c r="A24" s="77"/>
      <c r="B24" s="78"/>
      <c r="C24" s="79"/>
      <c r="D24" s="79"/>
      <c r="E24" s="79"/>
      <c r="F24" s="79"/>
      <c r="G24" s="79"/>
      <c r="H24" s="162">
        <v>0</v>
      </c>
      <c r="I24" s="79"/>
      <c r="J24" s="79"/>
      <c r="K24" s="79"/>
      <c r="L24" s="79"/>
      <c r="M24" s="79"/>
      <c r="N24" s="79"/>
      <c r="O24" s="79"/>
      <c r="P24" s="79"/>
      <c r="Q24" s="79"/>
      <c r="R24" s="79"/>
      <c r="S24" s="79"/>
      <c r="T24" s="278">
        <f>S23-T23</f>
        <v>-538178986</v>
      </c>
    </row>
    <row r="25" spans="1:20" s="75" customFormat="1">
      <c r="A25" s="77"/>
      <c r="B25" s="78"/>
      <c r="C25" s="79"/>
      <c r="D25" s="79"/>
      <c r="E25" s="79"/>
      <c r="F25" s="79"/>
      <c r="G25" s="79"/>
      <c r="H25" s="164"/>
      <c r="I25" s="79"/>
      <c r="J25" s="79"/>
      <c r="K25" s="79"/>
      <c r="L25" s="79"/>
      <c r="M25" s="79"/>
      <c r="N25" s="79"/>
      <c r="O25" s="79"/>
      <c r="P25" s="79"/>
      <c r="Q25" s="79"/>
      <c r="R25" s="79"/>
      <c r="S25" s="79"/>
      <c r="T25" s="278"/>
    </row>
    <row r="26" spans="1:20">
      <c r="A26" s="77" t="s">
        <v>441</v>
      </c>
      <c r="B26" s="78"/>
      <c r="C26" s="119">
        <f>'BS (3)'!C18</f>
        <v>4553977449</v>
      </c>
      <c r="D26" s="79"/>
      <c r="E26" s="79">
        <f>'BS (3)'!E18</f>
        <v>1656468377</v>
      </c>
      <c r="F26" s="79"/>
      <c r="G26" s="79">
        <f t="shared" si="0"/>
        <v>-2897509072</v>
      </c>
      <c r="H26" s="1188">
        <f>G26</f>
        <v>-2897509072</v>
      </c>
      <c r="I26" s="79"/>
      <c r="J26" s="79">
        <v>211397985.76999974</v>
      </c>
      <c r="K26" s="79"/>
      <c r="L26" s="79">
        <v>301182102.54000002</v>
      </c>
      <c r="M26" s="79"/>
      <c r="N26" s="79">
        <v>445664142</v>
      </c>
      <c r="O26" s="119">
        <f>'BS (3)'!N18</f>
        <v>4553977449</v>
      </c>
      <c r="P26" s="79"/>
      <c r="Q26" s="79">
        <f>'BS (3)'!P18</f>
        <v>1656468377</v>
      </c>
      <c r="R26" s="79"/>
      <c r="S26" s="79">
        <f t="shared" si="1"/>
        <v>-2897509072</v>
      </c>
      <c r="T26" s="276">
        <f>S26</f>
        <v>-2897509072</v>
      </c>
    </row>
    <row r="27" spans="1:20" s="75" customFormat="1">
      <c r="A27" s="77" t="s">
        <v>98</v>
      </c>
      <c r="B27" s="78"/>
      <c r="C27" s="119">
        <f>'BS (3)'!C19</f>
        <v>1875000000</v>
      </c>
      <c r="D27" s="79"/>
      <c r="E27" s="79">
        <f>'BS (3)'!E19</f>
        <v>1475000000</v>
      </c>
      <c r="F27" s="79"/>
      <c r="G27" s="79">
        <f t="shared" si="0"/>
        <v>-400000000</v>
      </c>
      <c r="H27" s="79"/>
      <c r="I27" s="79"/>
      <c r="J27" s="79">
        <v>211397985.76999974</v>
      </c>
      <c r="K27" s="79"/>
      <c r="L27" s="79">
        <v>301182102.54000002</v>
      </c>
      <c r="M27" s="79"/>
      <c r="N27" s="79">
        <v>445664142</v>
      </c>
      <c r="O27" s="119">
        <f>'BS (3)'!N19</f>
        <v>0</v>
      </c>
      <c r="P27" s="79"/>
      <c r="Q27" s="79">
        <f>'BS (3)'!P19</f>
        <v>0</v>
      </c>
      <c r="R27" s="79"/>
      <c r="S27" s="79">
        <f t="shared" si="1"/>
        <v>0</v>
      </c>
      <c r="T27" s="278"/>
    </row>
    <row r="28" spans="1:20">
      <c r="A28" s="77" t="s">
        <v>99</v>
      </c>
      <c r="B28" s="78"/>
      <c r="C28" s="119">
        <f>'BS (3)'!C20</f>
        <v>0</v>
      </c>
      <c r="D28" s="79"/>
      <c r="E28" s="79">
        <f>'BS (3)'!E20</f>
        <v>0</v>
      </c>
      <c r="F28" s="79"/>
      <c r="G28" s="79">
        <f t="shared" si="0"/>
        <v>0</v>
      </c>
      <c r="H28" s="79"/>
      <c r="I28" s="79"/>
      <c r="J28" s="79">
        <v>211397985.76999974</v>
      </c>
      <c r="K28" s="79"/>
      <c r="L28" s="79">
        <v>301182102.54000002</v>
      </c>
      <c r="M28" s="79"/>
      <c r="N28" s="79">
        <v>445664142</v>
      </c>
      <c r="O28" s="119">
        <f>'BS (3)'!N20</f>
        <v>0</v>
      </c>
      <c r="P28" s="79"/>
      <c r="Q28" s="79">
        <f>'BS (3)'!P20</f>
        <v>0</v>
      </c>
      <c r="R28" s="79"/>
      <c r="S28" s="79">
        <f t="shared" si="1"/>
        <v>0</v>
      </c>
    </row>
    <row r="29" spans="1:20">
      <c r="A29" s="77" t="s">
        <v>100</v>
      </c>
      <c r="B29" s="78"/>
      <c r="C29" s="119">
        <f>'BS (3)'!C21</f>
        <v>345137531</v>
      </c>
      <c r="D29" s="79"/>
      <c r="E29" s="79">
        <f>'BS (3)'!E21</f>
        <v>352340063</v>
      </c>
      <c r="F29" s="79"/>
      <c r="G29" s="79">
        <f t="shared" si="0"/>
        <v>7202532</v>
      </c>
      <c r="H29" s="79"/>
      <c r="I29" s="79"/>
      <c r="J29" s="79">
        <v>211397985.76999974</v>
      </c>
      <c r="K29" s="79"/>
      <c r="L29" s="79">
        <v>301182102.54000002</v>
      </c>
      <c r="M29" s="79"/>
      <c r="N29" s="79">
        <v>445664142</v>
      </c>
      <c r="O29" s="119">
        <f>'BS (3)'!N21</f>
        <v>351443480</v>
      </c>
      <c r="P29" s="79"/>
      <c r="Q29" s="79">
        <f>'BS (3)'!P21</f>
        <v>361806077</v>
      </c>
      <c r="R29" s="79"/>
      <c r="S29" s="79">
        <f t="shared" si="1"/>
        <v>10362597</v>
      </c>
    </row>
    <row r="30" spans="1:20">
      <c r="A30" s="77"/>
      <c r="B30" s="78"/>
      <c r="C30" s="119"/>
      <c r="D30" s="79"/>
      <c r="E30" s="79"/>
      <c r="F30" s="79"/>
      <c r="G30" s="79"/>
      <c r="H30" s="1188">
        <f>'P &amp; L (C &amp; G)'!C26</f>
        <v>7910728</v>
      </c>
      <c r="I30" s="79"/>
      <c r="J30" s="79"/>
      <c r="K30" s="79"/>
      <c r="L30" s="79"/>
      <c r="M30" s="79"/>
      <c r="N30" s="79"/>
      <c r="O30" s="119"/>
      <c r="P30" s="79"/>
      <c r="Q30" s="79"/>
      <c r="R30" s="79"/>
      <c r="S30" s="79"/>
      <c r="T30" s="276">
        <f>'P &amp; L (C &amp; G)'!I26</f>
        <v>14309338</v>
      </c>
    </row>
    <row r="31" spans="1:20">
      <c r="A31" s="77"/>
      <c r="B31" s="78"/>
      <c r="C31" s="119"/>
      <c r="D31" s="79"/>
      <c r="E31" s="79"/>
      <c r="F31" s="79"/>
      <c r="G31" s="79"/>
      <c r="H31" s="1189"/>
      <c r="I31" s="79"/>
      <c r="J31" s="79"/>
      <c r="K31" s="79"/>
      <c r="L31" s="79"/>
      <c r="M31" s="79"/>
      <c r="N31" s="79"/>
      <c r="O31" s="119"/>
      <c r="P31" s="79"/>
      <c r="Q31" s="79"/>
      <c r="R31" s="79"/>
      <c r="S31" s="79"/>
      <c r="T31" s="1189"/>
    </row>
    <row r="32" spans="1:20">
      <c r="A32" s="77"/>
      <c r="B32" s="78"/>
      <c r="C32" s="119"/>
      <c r="D32" s="79"/>
      <c r="E32" s="79"/>
      <c r="F32" s="79"/>
      <c r="G32" s="79"/>
      <c r="H32" s="1221">
        <v>-21444</v>
      </c>
      <c r="I32" s="79"/>
      <c r="J32" s="79"/>
      <c r="K32" s="79"/>
      <c r="L32" s="79"/>
      <c r="M32" s="79"/>
      <c r="N32" s="79"/>
      <c r="O32" s="119"/>
      <c r="P32" s="79"/>
      <c r="Q32" s="79"/>
      <c r="R32" s="79"/>
      <c r="S32" s="79"/>
      <c r="T32" s="1221">
        <v>-21444</v>
      </c>
    </row>
    <row r="33" spans="1:28">
      <c r="A33" s="77"/>
      <c r="B33" s="78"/>
      <c r="C33" s="119"/>
      <c r="D33" s="79"/>
      <c r="E33" s="79"/>
      <c r="F33" s="79"/>
      <c r="G33" s="79"/>
      <c r="H33" s="1191"/>
      <c r="I33" s="79"/>
      <c r="J33" s="79"/>
      <c r="K33" s="79"/>
      <c r="L33" s="79"/>
      <c r="M33" s="79"/>
      <c r="N33" s="79"/>
      <c r="O33" s="119"/>
      <c r="P33" s="79"/>
      <c r="Q33" s="79"/>
      <c r="R33" s="79"/>
      <c r="S33" s="79"/>
      <c r="T33" s="1191"/>
    </row>
    <row r="34" spans="1:28">
      <c r="A34" s="77"/>
      <c r="B34" s="78"/>
      <c r="C34" s="119"/>
      <c r="D34" s="79"/>
      <c r="E34" s="79"/>
      <c r="F34" s="79"/>
      <c r="G34" s="79"/>
      <c r="H34" s="85">
        <f>G29-H30-H31-H32-H33</f>
        <v>-686752</v>
      </c>
      <c r="I34" s="79"/>
      <c r="J34" s="79"/>
      <c r="K34" s="79"/>
      <c r="L34" s="79"/>
      <c r="M34" s="79"/>
      <c r="N34" s="79"/>
      <c r="O34" s="119"/>
      <c r="P34" s="79"/>
      <c r="Q34" s="79"/>
      <c r="R34" s="79"/>
      <c r="S34" s="79"/>
      <c r="T34" s="79">
        <f>S29-T30-T31-T32-T33</f>
        <v>-3925297</v>
      </c>
    </row>
    <row r="35" spans="1:28">
      <c r="A35" s="77"/>
      <c r="B35" s="78"/>
      <c r="C35" s="119"/>
      <c r="D35" s="79"/>
      <c r="E35" s="79"/>
      <c r="F35" s="79"/>
      <c r="G35" s="79"/>
      <c r="H35" s="79"/>
      <c r="I35" s="79"/>
      <c r="J35" s="79"/>
      <c r="K35" s="79"/>
      <c r="L35" s="79"/>
      <c r="M35" s="79"/>
      <c r="N35" s="79"/>
      <c r="O35" s="119"/>
      <c r="P35" s="79"/>
      <c r="Q35" s="79"/>
      <c r="R35" s="79"/>
      <c r="S35" s="79"/>
    </row>
    <row r="36" spans="1:28">
      <c r="A36" s="77" t="s">
        <v>101</v>
      </c>
      <c r="B36" s="78"/>
      <c r="C36" s="119">
        <f>'BS (3)'!C22</f>
        <v>948429823</v>
      </c>
      <c r="D36" s="79"/>
      <c r="E36" s="79">
        <f>'BS (3)'!E22</f>
        <v>811039816</v>
      </c>
      <c r="F36" s="79"/>
      <c r="G36" s="79">
        <f t="shared" si="0"/>
        <v>-137390007</v>
      </c>
      <c r="H36" s="79"/>
      <c r="I36" s="79"/>
      <c r="J36" s="79">
        <v>211397985.76999974</v>
      </c>
      <c r="K36" s="79"/>
      <c r="L36" s="79">
        <v>301182102.54000002</v>
      </c>
      <c r="M36" s="79"/>
      <c r="N36" s="79">
        <v>445664142</v>
      </c>
      <c r="O36" s="119">
        <f>'BS (3)'!N22</f>
        <v>3638730765</v>
      </c>
      <c r="P36" s="79"/>
      <c r="Q36" s="79">
        <f>'BS (3)'!P22</f>
        <v>2777377426</v>
      </c>
      <c r="R36" s="79"/>
      <c r="S36" s="79">
        <f t="shared" si="1"/>
        <v>-861353339</v>
      </c>
      <c r="V36" s="75" t="s">
        <v>213</v>
      </c>
      <c r="W36" s="276">
        <v>0</v>
      </c>
      <c r="Y36" s="76" t="s">
        <v>583</v>
      </c>
      <c r="Z36" s="83">
        <v>14953921</v>
      </c>
      <c r="AA36" s="83">
        <v>-5132867.3</v>
      </c>
      <c r="AB36" s="76" t="s">
        <v>585</v>
      </c>
    </row>
    <row r="37" spans="1:28">
      <c r="A37" s="77"/>
      <c r="B37" s="78"/>
      <c r="C37" s="119"/>
      <c r="D37" s="79"/>
      <c r="E37" s="79"/>
      <c r="F37" s="79"/>
      <c r="G37" s="79"/>
      <c r="H37" s="1188">
        <f>'P &amp; L (C &amp; G)'!C25</f>
        <v>99998080</v>
      </c>
      <c r="I37" s="79"/>
      <c r="J37" s="79"/>
      <c r="K37" s="79"/>
      <c r="L37" s="79"/>
      <c r="M37" s="79"/>
      <c r="N37" s="79"/>
      <c r="O37" s="119"/>
      <c r="P37" s="79"/>
      <c r="Q37" s="79"/>
      <c r="R37" s="79"/>
      <c r="S37" s="79"/>
      <c r="T37" s="276">
        <f>'P &amp; L (C &amp; G)'!I25</f>
        <v>135350822</v>
      </c>
      <c r="V37" s="76" t="s">
        <v>328</v>
      </c>
      <c r="W37" s="276">
        <f>-(717500+2600)</f>
        <v>-720100</v>
      </c>
      <c r="Y37" s="76" t="s">
        <v>584</v>
      </c>
      <c r="Z37" s="83">
        <v>-14876967</v>
      </c>
      <c r="AA37" s="83">
        <f>AA38-AA36</f>
        <v>5209821.3</v>
      </c>
      <c r="AB37" s="76" t="s">
        <v>586</v>
      </c>
    </row>
    <row r="38" spans="1:28" ht="16.5" thickBot="1">
      <c r="A38" s="77"/>
      <c r="B38" s="78"/>
      <c r="C38" s="119"/>
      <c r="D38" s="79"/>
      <c r="E38" s="79"/>
      <c r="F38" s="79"/>
      <c r="G38" s="79"/>
      <c r="H38" s="1189">
        <v>-5132867.3</v>
      </c>
      <c r="I38" s="79"/>
      <c r="J38" s="79"/>
      <c r="K38" s="79"/>
      <c r="L38" s="79"/>
      <c r="M38" s="79"/>
      <c r="N38" s="79"/>
      <c r="O38" s="119"/>
      <c r="P38" s="79"/>
      <c r="Q38" s="79"/>
      <c r="R38" s="79"/>
      <c r="S38" s="79"/>
      <c r="T38" s="1189">
        <v>-5132867.3</v>
      </c>
      <c r="V38" s="76" t="s">
        <v>211</v>
      </c>
      <c r="W38" s="276">
        <f>H39</f>
        <v>-45088148.409999996</v>
      </c>
      <c r="Z38" s="1225">
        <f>SUM(Z36:Z37)</f>
        <v>76954</v>
      </c>
      <c r="AA38" s="1225">
        <f>Z38</f>
        <v>76954</v>
      </c>
    </row>
    <row r="39" spans="1:28">
      <c r="A39" s="77"/>
      <c r="B39" s="78"/>
      <c r="C39" s="119"/>
      <c r="D39" s="79"/>
      <c r="E39" s="79"/>
      <c r="F39" s="79"/>
      <c r="G39" s="79"/>
      <c r="H39" s="1221">
        <v>-45088148.409999996</v>
      </c>
      <c r="I39" s="79"/>
      <c r="J39" s="79"/>
      <c r="K39" s="79"/>
      <c r="L39" s="79"/>
      <c r="M39" s="79"/>
      <c r="N39" s="79"/>
      <c r="O39" s="119"/>
      <c r="P39" s="79"/>
      <c r="Q39" s="79"/>
      <c r="R39" s="79"/>
      <c r="S39" s="79"/>
      <c r="T39" s="1221">
        <f>W43</f>
        <v>-473764279.97999978</v>
      </c>
      <c r="V39" s="76" t="s">
        <v>214</v>
      </c>
      <c r="W39" s="276">
        <v>-463750</v>
      </c>
    </row>
    <row r="40" spans="1:28">
      <c r="A40" s="77"/>
      <c r="B40" s="78"/>
      <c r="C40" s="119"/>
      <c r="D40" s="79"/>
      <c r="E40" s="79"/>
      <c r="F40" s="79"/>
      <c r="G40" s="79"/>
      <c r="H40" s="1191">
        <v>14953921</v>
      </c>
      <c r="I40" s="79"/>
      <c r="J40" s="79"/>
      <c r="K40" s="79"/>
      <c r="L40" s="79"/>
      <c r="M40" s="79"/>
      <c r="N40" s="79"/>
      <c r="O40" s="119"/>
      <c r="P40" s="79"/>
      <c r="Q40" s="79"/>
      <c r="R40" s="79"/>
      <c r="S40" s="79"/>
      <c r="T40" s="1191">
        <f>H40</f>
        <v>14953921</v>
      </c>
      <c r="V40" s="76" t="s">
        <v>580</v>
      </c>
      <c r="W40" s="276">
        <v>-3869399.89</v>
      </c>
    </row>
    <row r="41" spans="1:28">
      <c r="A41" s="77"/>
      <c r="B41" s="78"/>
      <c r="C41" s="119"/>
      <c r="D41" s="79"/>
      <c r="E41" s="79"/>
      <c r="F41" s="79"/>
      <c r="G41" s="79"/>
      <c r="H41" s="1191">
        <v>-14876967</v>
      </c>
      <c r="I41" s="79"/>
      <c r="J41" s="79"/>
      <c r="K41" s="79"/>
      <c r="L41" s="79"/>
      <c r="M41" s="79"/>
      <c r="N41" s="79"/>
      <c r="O41" s="119"/>
      <c r="P41" s="79"/>
      <c r="Q41" s="79"/>
      <c r="R41" s="79"/>
      <c r="S41" s="79"/>
      <c r="T41" s="1191">
        <f>H41</f>
        <v>-14876967</v>
      </c>
      <c r="V41" s="76" t="s">
        <v>212</v>
      </c>
      <c r="W41" s="276">
        <v>-16574024.6799998</v>
      </c>
    </row>
    <row r="42" spans="1:28">
      <c r="A42" s="77"/>
      <c r="B42" s="78"/>
      <c r="C42" s="119"/>
      <c r="D42" s="79"/>
      <c r="E42" s="79"/>
      <c r="F42" s="79"/>
      <c r="G42" s="79"/>
      <c r="H42" s="1191">
        <f>H40+H41-H38</f>
        <v>5209821.3</v>
      </c>
      <c r="I42" s="79"/>
      <c r="J42" s="79"/>
      <c r="K42" s="79"/>
      <c r="L42" s="79"/>
      <c r="M42" s="79"/>
      <c r="N42" s="79"/>
      <c r="O42" s="119"/>
      <c r="P42" s="79"/>
      <c r="Q42" s="79"/>
      <c r="R42" s="79"/>
      <c r="S42" s="79"/>
      <c r="T42" s="1191">
        <f>T40+T41-T38</f>
        <v>5209821.3</v>
      </c>
      <c r="V42" s="76" t="s">
        <v>587</v>
      </c>
      <c r="W42" s="276">
        <f>-(578833390-171784533)</f>
        <v>-407048857</v>
      </c>
      <c r="X42" s="1227"/>
    </row>
    <row r="43" spans="1:28" ht="16.5" thickBot="1">
      <c r="A43" s="77"/>
      <c r="B43" s="78"/>
      <c r="C43" s="119"/>
      <c r="D43" s="79"/>
      <c r="E43" s="79"/>
      <c r="F43" s="79"/>
      <c r="G43" s="79"/>
      <c r="H43" s="85">
        <f>G36-H37-H38-H39-H40-H41-H42</f>
        <v>-192453846.59</v>
      </c>
      <c r="I43" s="79"/>
      <c r="J43" s="79"/>
      <c r="K43" s="79"/>
      <c r="L43" s="79"/>
      <c r="M43" s="79"/>
      <c r="N43" s="79"/>
      <c r="O43" s="119"/>
      <c r="P43" s="79"/>
      <c r="Q43" s="79"/>
      <c r="R43" s="79"/>
      <c r="S43" s="79"/>
      <c r="T43" s="85">
        <f>S36-T37-T38-T39-T40-T41-T42</f>
        <v>-523093789.02000028</v>
      </c>
      <c r="U43" s="1227"/>
      <c r="W43" s="1222">
        <f>SUM(W36:W42)</f>
        <v>-473764279.97999978</v>
      </c>
    </row>
    <row r="44" spans="1:28" ht="16.5" thickTop="1">
      <c r="A44" s="77"/>
      <c r="B44" s="78"/>
      <c r="C44" s="119"/>
      <c r="D44" s="79"/>
      <c r="E44" s="79"/>
      <c r="F44" s="79"/>
      <c r="G44" s="79"/>
      <c r="H44" s="79"/>
      <c r="I44" s="79"/>
      <c r="J44" s="79"/>
      <c r="K44" s="79"/>
      <c r="L44" s="79"/>
      <c r="M44" s="79"/>
      <c r="N44" s="79"/>
      <c r="O44" s="119"/>
      <c r="P44" s="79"/>
      <c r="Q44" s="79"/>
      <c r="R44" s="79"/>
      <c r="S44" s="79"/>
      <c r="X44" s="1227"/>
    </row>
    <row r="45" spans="1:28">
      <c r="A45" s="77" t="s">
        <v>179</v>
      </c>
      <c r="B45" s="78"/>
      <c r="C45" s="119">
        <f>'BS (3)'!C23</f>
        <v>55000000</v>
      </c>
      <c r="D45" s="79"/>
      <c r="E45" s="79">
        <f>'BS (3)'!E23</f>
        <v>56000000</v>
      </c>
      <c r="F45" s="79"/>
      <c r="G45" s="79">
        <f t="shared" si="0"/>
        <v>1000000</v>
      </c>
      <c r="H45" s="79"/>
      <c r="I45" s="79"/>
      <c r="J45" s="79">
        <v>211397985.76999974</v>
      </c>
      <c r="K45" s="79"/>
      <c r="L45" s="79">
        <v>301182102.54000002</v>
      </c>
      <c r="M45" s="79"/>
      <c r="N45" s="79">
        <v>445664142</v>
      </c>
      <c r="O45" s="119">
        <f>'BS (3)'!N23</f>
        <v>0</v>
      </c>
      <c r="P45" s="79"/>
      <c r="Q45" s="79">
        <f>'BS (3)'!P23</f>
        <v>0</v>
      </c>
      <c r="R45" s="79"/>
      <c r="S45" s="79">
        <f t="shared" si="1"/>
        <v>0</v>
      </c>
      <c r="U45" s="1227"/>
    </row>
    <row r="46" spans="1:28" s="88" customFormat="1">
      <c r="A46" s="77" t="s">
        <v>102</v>
      </c>
      <c r="B46" s="78"/>
      <c r="C46" s="119">
        <f>'BS (3)'!C24</f>
        <v>1429692704</v>
      </c>
      <c r="D46" s="79"/>
      <c r="E46" s="79">
        <f>'BS (3)'!E24</f>
        <v>977532704</v>
      </c>
      <c r="F46" s="79"/>
      <c r="G46" s="79">
        <f t="shared" si="0"/>
        <v>-452160000</v>
      </c>
      <c r="H46" s="1188">
        <f>G46</f>
        <v>-452160000</v>
      </c>
      <c r="I46" s="79"/>
      <c r="J46" s="79">
        <v>211397985.76999974</v>
      </c>
      <c r="K46" s="79"/>
      <c r="L46" s="79">
        <v>301182102.54000002</v>
      </c>
      <c r="M46" s="79"/>
      <c r="N46" s="79">
        <v>445664142</v>
      </c>
      <c r="O46" s="119">
        <f>'BS (3)'!N24</f>
        <v>2300488567</v>
      </c>
      <c r="P46" s="79"/>
      <c r="Q46" s="79">
        <f>'BS (3)'!P24</f>
        <v>1808460560</v>
      </c>
      <c r="R46" s="79"/>
      <c r="S46" s="79">
        <f t="shared" si="1"/>
        <v>-492028007</v>
      </c>
      <c r="T46" s="1219">
        <f>S46</f>
        <v>-492028007</v>
      </c>
    </row>
    <row r="47" spans="1:28" s="91" customFormat="1" ht="16.5" thickBot="1">
      <c r="A47" s="80"/>
      <c r="B47" s="89"/>
      <c r="C47" s="126"/>
      <c r="D47" s="90"/>
      <c r="E47" s="127"/>
      <c r="F47" s="90"/>
      <c r="G47" s="79"/>
      <c r="H47" s="79"/>
      <c r="I47" s="90"/>
      <c r="J47" s="127"/>
      <c r="K47" s="90"/>
      <c r="L47" s="90"/>
      <c r="M47" s="90"/>
      <c r="N47" s="90"/>
      <c r="O47" s="126"/>
      <c r="P47" s="90"/>
      <c r="Q47" s="127"/>
      <c r="R47" s="90"/>
      <c r="S47" s="79"/>
      <c r="T47" s="277"/>
    </row>
    <row r="48" spans="1:28" ht="16.5" thickTop="1">
      <c r="A48" s="77"/>
      <c r="B48" s="78"/>
      <c r="C48" s="119"/>
      <c r="D48" s="79"/>
      <c r="E48" s="79"/>
      <c r="F48" s="79"/>
      <c r="G48" s="79"/>
      <c r="H48" s="79"/>
      <c r="I48" s="79"/>
      <c r="J48" s="79"/>
      <c r="K48" s="79"/>
      <c r="L48" s="79"/>
      <c r="M48" s="79"/>
      <c r="N48" s="79">
        <v>0</v>
      </c>
      <c r="O48" s="119"/>
      <c r="P48" s="79"/>
      <c r="Q48" s="79"/>
      <c r="R48" s="79"/>
      <c r="S48" s="79"/>
    </row>
    <row r="49" spans="1:20" s="91" customFormat="1">
      <c r="A49" s="80" t="s">
        <v>104</v>
      </c>
      <c r="B49" s="89"/>
      <c r="C49" s="121"/>
      <c r="D49" s="90"/>
      <c r="E49" s="90"/>
      <c r="F49" s="90"/>
      <c r="G49" s="79"/>
      <c r="H49" s="79"/>
      <c r="I49" s="90"/>
      <c r="J49" s="90"/>
      <c r="K49" s="90"/>
      <c r="L49" s="90"/>
      <c r="M49" s="90"/>
      <c r="N49" s="90">
        <v>0</v>
      </c>
      <c r="O49" s="121"/>
      <c r="P49" s="90"/>
      <c r="Q49" s="90"/>
      <c r="R49" s="90"/>
      <c r="S49" s="79"/>
      <c r="T49" s="277"/>
    </row>
    <row r="50" spans="1:20" s="75" customFormat="1">
      <c r="A50" s="92" t="s">
        <v>442</v>
      </c>
      <c r="B50" s="78"/>
      <c r="C50" s="119">
        <f>-'BS (3)'!C28-C54</f>
        <v>-12956252125</v>
      </c>
      <c r="D50" s="79"/>
      <c r="E50" s="79">
        <f>-'BS (3)'!E28-E54</f>
        <v>-16126026698</v>
      </c>
      <c r="F50" s="79"/>
      <c r="G50" s="79">
        <f t="shared" ref="G50" si="3">E50-C50</f>
        <v>-3169774573</v>
      </c>
      <c r="H50" s="79"/>
      <c r="I50" s="79"/>
      <c r="J50" s="79">
        <v>211397985.76999974</v>
      </c>
      <c r="K50" s="79"/>
      <c r="L50" s="79">
        <v>301182102.54000002</v>
      </c>
      <c r="M50" s="79"/>
      <c r="N50" s="79">
        <v>445664142</v>
      </c>
      <c r="O50" s="119">
        <f>-'BS (3)'!N28-O54</f>
        <v>-14200667062</v>
      </c>
      <c r="P50" s="79"/>
      <c r="Q50" s="79">
        <f>-'BS (3)'!P28-Q54</f>
        <v>-17338704064</v>
      </c>
      <c r="R50" s="79"/>
      <c r="S50" s="79">
        <f t="shared" ref="S50" si="4">Q50-O50</f>
        <v>-3138037002</v>
      </c>
      <c r="T50" s="278"/>
    </row>
    <row r="51" spans="1:20" s="75" customFormat="1">
      <c r="A51" s="92"/>
      <c r="B51" s="78"/>
      <c r="C51" s="119"/>
      <c r="D51" s="79"/>
      <c r="E51" s="79"/>
      <c r="F51" s="79"/>
      <c r="G51" s="79"/>
      <c r="H51" s="1188">
        <v>-50000000</v>
      </c>
      <c r="I51" s="79"/>
      <c r="J51" s="79"/>
      <c r="K51" s="79"/>
      <c r="L51" s="79"/>
      <c r="M51" s="79"/>
      <c r="N51" s="79"/>
      <c r="O51" s="119"/>
      <c r="P51" s="79"/>
      <c r="Q51" s="79"/>
      <c r="R51" s="79"/>
      <c r="S51" s="79"/>
      <c r="T51" s="1188">
        <v>-50000000</v>
      </c>
    </row>
    <row r="52" spans="1:20" s="75" customFormat="1">
      <c r="A52" s="92"/>
      <c r="B52" s="78"/>
      <c r="C52" s="119"/>
      <c r="D52" s="79"/>
      <c r="E52" s="79"/>
      <c r="F52" s="79"/>
      <c r="G52" s="79"/>
      <c r="H52" s="1188">
        <f>G50-H51</f>
        <v>-3119774573</v>
      </c>
      <c r="I52" s="79"/>
      <c r="J52" s="79"/>
      <c r="K52" s="79"/>
      <c r="L52" s="79"/>
      <c r="M52" s="79"/>
      <c r="N52" s="79"/>
      <c r="O52" s="119"/>
      <c r="P52" s="79"/>
      <c r="Q52" s="79"/>
      <c r="R52" s="79"/>
      <c r="S52" s="79"/>
      <c r="T52" s="1188">
        <f>S50-T51</f>
        <v>-3088037002</v>
      </c>
    </row>
    <row r="53" spans="1:20" s="75" customFormat="1">
      <c r="A53" s="92"/>
      <c r="B53" s="78"/>
      <c r="C53" s="119"/>
      <c r="D53" s="79"/>
      <c r="E53" s="79"/>
      <c r="F53" s="79"/>
      <c r="G53" s="79"/>
      <c r="H53" s="79"/>
      <c r="I53" s="79"/>
      <c r="J53" s="79"/>
      <c r="K53" s="79"/>
      <c r="L53" s="79"/>
      <c r="M53" s="79"/>
      <c r="N53" s="79"/>
      <c r="O53" s="119"/>
      <c r="P53" s="79"/>
      <c r="Q53" s="79"/>
      <c r="R53" s="79"/>
      <c r="S53" s="79"/>
      <c r="T53" s="278"/>
    </row>
    <row r="54" spans="1:20" s="75" customFormat="1">
      <c r="A54" s="92" t="s">
        <v>190</v>
      </c>
      <c r="B54" s="78"/>
      <c r="C54" s="119">
        <f>'CF (3)'!C38</f>
        <v>-331294320</v>
      </c>
      <c r="D54" s="79"/>
      <c r="E54" s="79">
        <f>'CF (3)'!E38</f>
        <v>-739699356</v>
      </c>
      <c r="F54" s="79"/>
      <c r="G54" s="79">
        <f t="shared" ref="G54" si="5">E54-C54</f>
        <v>-408405036</v>
      </c>
      <c r="H54" s="79">
        <f>G54</f>
        <v>-408405036</v>
      </c>
      <c r="I54" s="79"/>
      <c r="J54" s="79"/>
      <c r="K54" s="79"/>
      <c r="L54" s="79"/>
      <c r="M54" s="79"/>
      <c r="N54" s="79"/>
      <c r="O54" s="119">
        <f>'CF (3)'!G38</f>
        <v>-400126308</v>
      </c>
      <c r="P54" s="79"/>
      <c r="Q54" s="79">
        <f>'CF (3)'!I38</f>
        <v>-868361682</v>
      </c>
      <c r="R54" s="79"/>
      <c r="S54" s="79">
        <f t="shared" ref="S54" si="6">Q54-O54</f>
        <v>-468235374</v>
      </c>
      <c r="T54" s="79">
        <f>S54</f>
        <v>-468235374</v>
      </c>
    </row>
    <row r="55" spans="1:20" s="75" customFormat="1">
      <c r="A55" s="92"/>
      <c r="B55" s="78"/>
      <c r="C55" s="119"/>
      <c r="D55" s="79"/>
      <c r="E55" s="79"/>
      <c r="F55" s="79"/>
      <c r="G55" s="79"/>
      <c r="H55" s="79"/>
      <c r="I55" s="79"/>
      <c r="J55" s="79"/>
      <c r="K55" s="79"/>
      <c r="L55" s="79"/>
      <c r="M55" s="79"/>
      <c r="N55" s="79"/>
      <c r="O55" s="119"/>
      <c r="P55" s="79"/>
      <c r="Q55" s="79"/>
      <c r="R55" s="79"/>
      <c r="S55" s="79"/>
      <c r="T55" s="278"/>
    </row>
    <row r="56" spans="1:20" s="75" customFormat="1">
      <c r="A56" s="92" t="s">
        <v>443</v>
      </c>
      <c r="B56" s="78"/>
      <c r="C56" s="119">
        <f>-'BS (3)'!C29</f>
        <v>-39921527357</v>
      </c>
      <c r="D56" s="79"/>
      <c r="E56" s="79">
        <f>-'BS (3)'!E29</f>
        <v>-29769955021</v>
      </c>
      <c r="F56" s="79"/>
      <c r="G56" s="79">
        <f t="shared" ref="G56:G77" si="7">E56-C56</f>
        <v>10151572336</v>
      </c>
      <c r="H56" s="1188">
        <f>G56</f>
        <v>10151572336</v>
      </c>
      <c r="I56" s="79"/>
      <c r="J56" s="79">
        <v>211397985.76999974</v>
      </c>
      <c r="K56" s="79"/>
      <c r="L56" s="79">
        <v>301182102.54000002</v>
      </c>
      <c r="M56" s="79"/>
      <c r="N56" s="79">
        <v>445664142</v>
      </c>
      <c r="O56" s="119">
        <f>-'BS (3)'!N29</f>
        <v>-39835006634</v>
      </c>
      <c r="P56" s="79"/>
      <c r="Q56" s="79">
        <f>-'BS (3)'!P29</f>
        <v>-29699653115</v>
      </c>
      <c r="R56" s="79"/>
      <c r="S56" s="79">
        <f t="shared" ref="S56:S77" si="8">Q56-O56</f>
        <v>10135353519</v>
      </c>
      <c r="T56" s="1188">
        <f>S56</f>
        <v>10135353519</v>
      </c>
    </row>
    <row r="57" spans="1:20" s="75" customFormat="1">
      <c r="A57" s="92" t="s">
        <v>444</v>
      </c>
      <c r="B57" s="78"/>
      <c r="C57" s="119">
        <f>-'BS (3)'!C30</f>
        <v>-29513626792</v>
      </c>
      <c r="D57" s="79"/>
      <c r="E57" s="79">
        <f>-'BS (3)'!E30</f>
        <v>-28985476079</v>
      </c>
      <c r="F57" s="79"/>
      <c r="G57" s="79">
        <f t="shared" si="7"/>
        <v>528150713</v>
      </c>
      <c r="H57" s="1188">
        <f>G57</f>
        <v>528150713</v>
      </c>
      <c r="I57" s="79"/>
      <c r="J57" s="79">
        <v>211397985.76999974</v>
      </c>
      <c r="K57" s="79"/>
      <c r="L57" s="79">
        <v>301182102.54000002</v>
      </c>
      <c r="M57" s="79"/>
      <c r="N57" s="79">
        <v>445664142</v>
      </c>
      <c r="O57" s="119">
        <f>-'BS (3)'!N30</f>
        <v>-29405300262</v>
      </c>
      <c r="P57" s="79"/>
      <c r="Q57" s="79">
        <f>-'BS (3)'!P30</f>
        <v>-28881072079</v>
      </c>
      <c r="R57" s="79"/>
      <c r="S57" s="79">
        <f t="shared" si="8"/>
        <v>524228183</v>
      </c>
      <c r="T57" s="1188">
        <f>S57</f>
        <v>524228183</v>
      </c>
    </row>
    <row r="58" spans="1:20" s="75" customFormat="1">
      <c r="A58" s="92"/>
      <c r="B58" s="78"/>
      <c r="C58" s="119"/>
      <c r="D58" s="79"/>
      <c r="E58" s="79"/>
      <c r="F58" s="79"/>
      <c r="G58" s="79"/>
      <c r="H58" s="79"/>
      <c r="I58" s="79"/>
      <c r="J58" s="79"/>
      <c r="K58" s="79"/>
      <c r="L58" s="79"/>
      <c r="M58" s="79"/>
      <c r="N58" s="79"/>
      <c r="O58" s="119"/>
      <c r="P58" s="79"/>
      <c r="Q58" s="79"/>
      <c r="R58" s="79"/>
      <c r="S58" s="79"/>
      <c r="T58" s="79"/>
    </row>
    <row r="59" spans="1:20" s="75" customFormat="1">
      <c r="A59" s="92" t="s">
        <v>445</v>
      </c>
      <c r="B59" s="78"/>
      <c r="C59" s="119">
        <f>-'BS (3)'!C31</f>
        <v>-4655712282</v>
      </c>
      <c r="D59" s="79"/>
      <c r="E59" s="79">
        <f>-'BS (3)'!E31</f>
        <v>-3974558996</v>
      </c>
      <c r="F59" s="79"/>
      <c r="G59" s="79">
        <f t="shared" si="7"/>
        <v>681153286</v>
      </c>
      <c r="H59" s="1188">
        <f>G59-H60-H61</f>
        <v>-108003324.12999998</v>
      </c>
      <c r="I59" s="79"/>
      <c r="J59" s="79">
        <v>211397985.76999974</v>
      </c>
      <c r="K59" s="79"/>
      <c r="L59" s="79">
        <v>301182102.54000002</v>
      </c>
      <c r="M59" s="79"/>
      <c r="N59" s="79">
        <v>445664142</v>
      </c>
      <c r="O59" s="119">
        <f>-'BS (3)'!N31</f>
        <v>-4410590957</v>
      </c>
      <c r="P59" s="79"/>
      <c r="Q59" s="79">
        <f>-'BS (3)'!P31</f>
        <v>-3889424810</v>
      </c>
      <c r="R59" s="79"/>
      <c r="S59" s="79">
        <f t="shared" si="8"/>
        <v>521166147</v>
      </c>
      <c r="T59" s="1188">
        <f>S59-T60-T61</f>
        <v>-267990463.13</v>
      </c>
    </row>
    <row r="60" spans="1:20" s="75" customFormat="1">
      <c r="A60" s="92"/>
      <c r="B60" s="78"/>
      <c r="C60" s="119"/>
      <c r="D60" s="79"/>
      <c r="E60" s="79"/>
      <c r="F60" s="79"/>
      <c r="G60" s="79"/>
      <c r="H60" s="79">
        <f>722479008.12+67375278.9</f>
        <v>789854287.01999998</v>
      </c>
      <c r="I60" s="79"/>
      <c r="J60" s="79"/>
      <c r="K60" s="79"/>
      <c r="L60" s="79"/>
      <c r="M60" s="79"/>
      <c r="N60" s="79"/>
      <c r="O60" s="119"/>
      <c r="P60" s="79"/>
      <c r="Q60" s="79"/>
      <c r="R60" s="79"/>
      <c r="S60" s="79"/>
      <c r="T60" s="79">
        <f>722479008.12+67375278.9</f>
        <v>789854287.01999998</v>
      </c>
    </row>
    <row r="61" spans="1:20" s="75" customFormat="1">
      <c r="A61" s="92"/>
      <c r="B61" s="1226"/>
      <c r="C61" s="119"/>
      <c r="D61" s="79"/>
      <c r="E61" s="79"/>
      <c r="F61" s="79"/>
      <c r="G61" s="79"/>
      <c r="H61" s="79">
        <f>-697676.89</f>
        <v>-697676.89</v>
      </c>
      <c r="I61" s="79"/>
      <c r="J61" s="79"/>
      <c r="K61" s="79"/>
      <c r="L61" s="79"/>
      <c r="M61" s="79"/>
      <c r="N61" s="79"/>
      <c r="O61" s="119"/>
      <c r="P61" s="79"/>
      <c r="Q61" s="79"/>
      <c r="R61" s="79"/>
      <c r="S61" s="79"/>
      <c r="T61" s="79">
        <f>-697676.89</f>
        <v>-697676.89</v>
      </c>
    </row>
    <row r="62" spans="1:20" s="75" customFormat="1">
      <c r="A62" s="92"/>
      <c r="B62" s="78"/>
      <c r="C62" s="119"/>
      <c r="D62" s="79"/>
      <c r="E62" s="79"/>
      <c r="F62" s="79"/>
      <c r="G62" s="79"/>
      <c r="H62" s="79"/>
      <c r="I62" s="79"/>
      <c r="J62" s="79"/>
      <c r="K62" s="79"/>
      <c r="L62" s="79"/>
      <c r="M62" s="79"/>
      <c r="N62" s="79"/>
      <c r="O62" s="119"/>
      <c r="P62" s="79"/>
      <c r="Q62" s="79"/>
      <c r="R62" s="79"/>
      <c r="S62" s="79"/>
      <c r="T62" s="278"/>
    </row>
    <row r="63" spans="1:20" s="75" customFormat="1">
      <c r="A63" s="92" t="s">
        <v>554</v>
      </c>
      <c r="B63" s="78"/>
      <c r="C63" s="119">
        <f>-'BS (3)'!C32</f>
        <v>-174352673</v>
      </c>
      <c r="D63" s="79"/>
      <c r="E63" s="79">
        <f>-'BS (3)'!E32</f>
        <v>0</v>
      </c>
      <c r="F63" s="79"/>
      <c r="G63" s="79">
        <f t="shared" si="7"/>
        <v>174352673</v>
      </c>
      <c r="H63" s="79"/>
      <c r="I63" s="79"/>
      <c r="J63" s="79">
        <v>211397985.76999974</v>
      </c>
      <c r="K63" s="79"/>
      <c r="L63" s="79">
        <v>301182102.54000002</v>
      </c>
      <c r="M63" s="79"/>
      <c r="N63" s="79">
        <v>445664142</v>
      </c>
      <c r="O63" s="119">
        <f>-'BS (3)'!N32</f>
        <v>-174352673</v>
      </c>
      <c r="P63" s="79"/>
      <c r="Q63" s="79">
        <f>-'BS (3)'!P32</f>
        <v>0</v>
      </c>
      <c r="R63" s="79"/>
      <c r="S63" s="79">
        <f t="shared" si="8"/>
        <v>174352673</v>
      </c>
      <c r="T63" s="278"/>
    </row>
    <row r="64" spans="1:20" s="75" customFormat="1">
      <c r="A64" s="92"/>
      <c r="B64" s="78"/>
      <c r="C64" s="119"/>
      <c r="D64" s="79"/>
      <c r="E64" s="79"/>
      <c r="F64" s="79"/>
      <c r="G64" s="79"/>
      <c r="H64" s="1194">
        <f>-H103</f>
        <v>58957007</v>
      </c>
      <c r="I64" s="79"/>
      <c r="J64" s="79"/>
      <c r="K64" s="79"/>
      <c r="L64" s="79"/>
      <c r="M64" s="79"/>
      <c r="N64" s="79"/>
      <c r="O64" s="119"/>
      <c r="P64" s="79"/>
      <c r="Q64" s="79"/>
      <c r="R64" s="79"/>
      <c r="S64" s="79"/>
      <c r="T64" s="1229">
        <f>-T103</f>
        <v>58957007</v>
      </c>
    </row>
    <row r="65" spans="1:23" s="75" customFormat="1">
      <c r="A65" s="92"/>
      <c r="B65" s="78"/>
      <c r="C65" s="119"/>
      <c r="D65" s="79"/>
      <c r="E65" s="79"/>
      <c r="F65" s="79"/>
      <c r="G65" s="79"/>
      <c r="H65" s="1188">
        <f>G63-H64</f>
        <v>115395666</v>
      </c>
      <c r="I65" s="79"/>
      <c r="J65" s="79"/>
      <c r="K65" s="79"/>
      <c r="L65" s="79"/>
      <c r="M65" s="79"/>
      <c r="N65" s="79"/>
      <c r="O65" s="119"/>
      <c r="P65" s="79"/>
      <c r="Q65" s="79"/>
      <c r="R65" s="79"/>
      <c r="S65" s="79"/>
      <c r="T65" s="1188">
        <f>S63-T64</f>
        <v>115395666</v>
      </c>
    </row>
    <row r="66" spans="1:23" s="75" customFormat="1">
      <c r="A66" s="92"/>
      <c r="B66" s="78"/>
      <c r="C66" s="119"/>
      <c r="D66" s="79"/>
      <c r="E66" s="79"/>
      <c r="F66" s="79"/>
      <c r="G66" s="79"/>
      <c r="H66" s="79"/>
      <c r="I66" s="79"/>
      <c r="J66" s="79"/>
      <c r="K66" s="79"/>
      <c r="L66" s="79"/>
      <c r="M66" s="79"/>
      <c r="N66" s="79"/>
      <c r="O66" s="119"/>
      <c r="P66" s="79"/>
      <c r="Q66" s="79"/>
      <c r="R66" s="79"/>
      <c r="S66" s="79"/>
      <c r="T66" s="278"/>
      <c r="V66" s="75" t="s">
        <v>213</v>
      </c>
      <c r="W66" s="278">
        <v>-35870</v>
      </c>
    </row>
    <row r="67" spans="1:23">
      <c r="A67" s="77" t="s">
        <v>446</v>
      </c>
      <c r="B67" s="78"/>
      <c r="C67" s="119">
        <f>-'BS (3)'!C33</f>
        <v>0</v>
      </c>
      <c r="D67" s="79"/>
      <c r="E67" s="79">
        <f>-'BS (3)'!E33</f>
        <v>0</v>
      </c>
      <c r="F67" s="79"/>
      <c r="G67" s="79">
        <f t="shared" si="7"/>
        <v>0</v>
      </c>
      <c r="H67" s="79"/>
      <c r="I67" s="79"/>
      <c r="J67" s="79">
        <v>211397985.76999974</v>
      </c>
      <c r="K67" s="79"/>
      <c r="L67" s="79">
        <v>301182102.54000002</v>
      </c>
      <c r="M67" s="79"/>
      <c r="N67" s="79">
        <v>445664142</v>
      </c>
      <c r="O67" s="119">
        <f>-'BS (3)'!N33</f>
        <v>-2820418113</v>
      </c>
      <c r="P67" s="79"/>
      <c r="Q67" s="79">
        <f>-'BS (3)'!P33</f>
        <v>-2413813698</v>
      </c>
      <c r="R67" s="79"/>
      <c r="S67" s="79">
        <f t="shared" si="8"/>
        <v>406604415</v>
      </c>
      <c r="T67" s="276">
        <f>S67</f>
        <v>406604415</v>
      </c>
      <c r="V67" s="76" t="s">
        <v>328</v>
      </c>
    </row>
    <row r="68" spans="1:23">
      <c r="A68" s="77" t="s">
        <v>105</v>
      </c>
      <c r="B68" s="78"/>
      <c r="C68" s="119">
        <f>-'BS (3)'!C34</f>
        <v>-479225640</v>
      </c>
      <c r="D68" s="79"/>
      <c r="E68" s="79">
        <f>-'BS (3)'!E34</f>
        <v>-509911035</v>
      </c>
      <c r="F68" s="79"/>
      <c r="G68" s="79">
        <f t="shared" si="7"/>
        <v>-30685395</v>
      </c>
      <c r="H68" s="79"/>
      <c r="I68" s="79"/>
      <c r="J68" s="79">
        <v>211397985.76999974</v>
      </c>
      <c r="K68" s="79"/>
      <c r="L68" s="79">
        <v>301182102.54000002</v>
      </c>
      <c r="M68" s="79"/>
      <c r="N68" s="79">
        <v>445664142</v>
      </c>
      <c r="O68" s="119">
        <f>-'BS (3)'!N34</f>
        <v>-539140389</v>
      </c>
      <c r="P68" s="79"/>
      <c r="Q68" s="79">
        <f>-'BS (3)'!P34</f>
        <v>-604190834</v>
      </c>
      <c r="R68" s="79"/>
      <c r="S68" s="79">
        <f t="shared" si="8"/>
        <v>-65050445</v>
      </c>
      <c r="V68" s="76" t="s">
        <v>211</v>
      </c>
      <c r="W68" s="83">
        <f>H70</f>
        <v>-140983054</v>
      </c>
    </row>
    <row r="69" spans="1:23">
      <c r="A69" s="77"/>
      <c r="B69" s="78"/>
      <c r="C69" s="119"/>
      <c r="D69" s="79"/>
      <c r="E69" s="79"/>
      <c r="F69" s="79"/>
      <c r="G69" s="79"/>
      <c r="H69" s="1194">
        <f>-H93</f>
        <v>700945895</v>
      </c>
      <c r="I69" s="79"/>
      <c r="J69" s="79"/>
      <c r="K69" s="79"/>
      <c r="L69" s="79"/>
      <c r="M69" s="79"/>
      <c r="N69" s="79"/>
      <c r="O69" s="119"/>
      <c r="P69" s="79"/>
      <c r="Q69" s="79"/>
      <c r="R69" s="79"/>
      <c r="S69" s="79"/>
      <c r="T69" s="1229">
        <f>-T93</f>
        <v>773455249</v>
      </c>
      <c r="V69" s="76" t="s">
        <v>214</v>
      </c>
    </row>
    <row r="70" spans="1:23">
      <c r="A70" s="77"/>
      <c r="B70" s="78"/>
      <c r="C70" s="119"/>
      <c r="D70" s="79"/>
      <c r="E70" s="79"/>
      <c r="F70" s="79"/>
      <c r="G70" s="79"/>
      <c r="H70" s="1189">
        <v>-140983054</v>
      </c>
      <c r="I70" s="79"/>
      <c r="J70" s="79"/>
      <c r="K70" s="79"/>
      <c r="L70" s="79"/>
      <c r="M70" s="79"/>
      <c r="N70" s="79"/>
      <c r="O70" s="119"/>
      <c r="P70" s="79"/>
      <c r="Q70" s="79"/>
      <c r="R70" s="79"/>
      <c r="S70" s="79"/>
      <c r="T70" s="276">
        <f>W73</f>
        <v>-163018924</v>
      </c>
      <c r="U70" s="83"/>
      <c r="V70" s="76" t="s">
        <v>192</v>
      </c>
      <c r="W70" s="276">
        <v>-22000000</v>
      </c>
    </row>
    <row r="71" spans="1:23">
      <c r="A71" s="77"/>
      <c r="B71" s="78"/>
      <c r="C71" s="119"/>
      <c r="D71" s="79"/>
      <c r="E71" s="79"/>
      <c r="F71" s="79"/>
      <c r="G71" s="79"/>
      <c r="H71" s="79">
        <f>-H75</f>
        <v>-372820546</v>
      </c>
      <c r="I71" s="79"/>
      <c r="J71" s="79"/>
      <c r="K71" s="79"/>
      <c r="L71" s="79"/>
      <c r="M71" s="79"/>
      <c r="N71" s="79"/>
      <c r="O71" s="119"/>
      <c r="P71" s="79"/>
      <c r="Q71" s="79"/>
      <c r="R71" s="79"/>
      <c r="S71" s="79"/>
      <c r="T71" s="276">
        <f>-T75</f>
        <v>-368051743</v>
      </c>
      <c r="U71" s="83"/>
    </row>
    <row r="72" spans="1:23">
      <c r="A72" s="77"/>
      <c r="B72" s="78"/>
      <c r="C72" s="119"/>
      <c r="D72" s="79"/>
      <c r="E72" s="79"/>
      <c r="F72" s="79"/>
      <c r="G72" s="79"/>
      <c r="H72" s="79">
        <f>G68-H69-H70-H71</f>
        <v>-217827690</v>
      </c>
      <c r="I72" s="79"/>
      <c r="J72" s="79"/>
      <c r="K72" s="79"/>
      <c r="L72" s="79"/>
      <c r="M72" s="79"/>
      <c r="N72" s="79"/>
      <c r="O72" s="119"/>
      <c r="P72" s="79"/>
      <c r="Q72" s="79"/>
      <c r="R72" s="79"/>
      <c r="S72" s="79"/>
      <c r="T72" s="79">
        <f>S68-T69-T70-T71</f>
        <v>-307435027</v>
      </c>
      <c r="V72" s="76" t="s">
        <v>212</v>
      </c>
    </row>
    <row r="73" spans="1:23" ht="16.5" thickBot="1">
      <c r="A73" s="77"/>
      <c r="B73" s="78"/>
      <c r="C73" s="119"/>
      <c r="D73" s="79"/>
      <c r="E73" s="79"/>
      <c r="F73" s="79"/>
      <c r="G73" s="79"/>
      <c r="H73" s="79"/>
      <c r="I73" s="79"/>
      <c r="J73" s="79"/>
      <c r="K73" s="79"/>
      <c r="L73" s="79"/>
      <c r="M73" s="79"/>
      <c r="N73" s="79"/>
      <c r="O73" s="119"/>
      <c r="P73" s="79"/>
      <c r="Q73" s="79"/>
      <c r="R73" s="79"/>
      <c r="S73" s="79"/>
      <c r="W73" s="1223">
        <f>SUM(W66:W72)</f>
        <v>-163018924</v>
      </c>
    </row>
    <row r="74" spans="1:23" s="88" customFormat="1" ht="15.75" customHeight="1" thickTop="1">
      <c r="A74" s="77" t="s">
        <v>106</v>
      </c>
      <c r="B74" s="78"/>
      <c r="C74" s="119">
        <f>-'BS (3)'!C35</f>
        <v>-1573461387</v>
      </c>
      <c r="D74" s="79"/>
      <c r="E74" s="79">
        <f>-'BS (3)'!E35</f>
        <v>-1200640841</v>
      </c>
      <c r="F74" s="79"/>
      <c r="G74" s="79">
        <f t="shared" si="7"/>
        <v>372820546</v>
      </c>
      <c r="H74" s="79"/>
      <c r="I74" s="79"/>
      <c r="J74" s="79">
        <v>211397985.76999974</v>
      </c>
      <c r="K74" s="79"/>
      <c r="L74" s="79">
        <v>301182102.54000002</v>
      </c>
      <c r="M74" s="79"/>
      <c r="N74" s="79">
        <v>445664142</v>
      </c>
      <c r="O74" s="119">
        <f>-'BS (3)'!N35</f>
        <v>-1593826825</v>
      </c>
      <c r="P74" s="79"/>
      <c r="Q74" s="79">
        <f>-'BS (3)'!P35</f>
        <v>-1225775082</v>
      </c>
      <c r="R74" s="79"/>
      <c r="S74" s="79">
        <f t="shared" si="8"/>
        <v>368051743</v>
      </c>
      <c r="T74" s="278"/>
      <c r="U74" s="75"/>
    </row>
    <row r="75" spans="1:23" s="88" customFormat="1" ht="15.75" customHeight="1">
      <c r="A75" s="77"/>
      <c r="B75" s="78"/>
      <c r="C75" s="119"/>
      <c r="D75" s="79"/>
      <c r="E75" s="79"/>
      <c r="F75" s="79"/>
      <c r="G75" s="79"/>
      <c r="H75" s="79">
        <f>G74</f>
        <v>372820546</v>
      </c>
      <c r="I75" s="79"/>
      <c r="J75" s="79"/>
      <c r="K75" s="79"/>
      <c r="L75" s="79"/>
      <c r="M75" s="79"/>
      <c r="N75" s="79"/>
      <c r="O75" s="119"/>
      <c r="P75" s="79"/>
      <c r="Q75" s="79"/>
      <c r="R75" s="79"/>
      <c r="S75" s="79"/>
      <c r="T75" s="278">
        <f>S74</f>
        <v>368051743</v>
      </c>
      <c r="U75" s="75"/>
    </row>
    <row r="76" spans="1:23" s="88" customFormat="1" ht="15.75" customHeight="1">
      <c r="A76" s="77"/>
      <c r="B76" s="78"/>
      <c r="C76" s="119"/>
      <c r="D76" s="79"/>
      <c r="E76" s="79"/>
      <c r="F76" s="79"/>
      <c r="G76" s="79"/>
      <c r="H76" s="79"/>
      <c r="I76" s="79"/>
      <c r="J76" s="79"/>
      <c r="K76" s="79"/>
      <c r="L76" s="79"/>
      <c r="M76" s="79"/>
      <c r="N76" s="79"/>
      <c r="O76" s="119"/>
      <c r="P76" s="79"/>
      <c r="Q76" s="79"/>
      <c r="R76" s="79"/>
      <c r="S76" s="79"/>
      <c r="T76" s="278"/>
      <c r="U76" s="75"/>
    </row>
    <row r="77" spans="1:23" ht="15.75" customHeight="1">
      <c r="A77" s="77" t="s">
        <v>107</v>
      </c>
      <c r="B77" s="78"/>
      <c r="C77" s="119">
        <f>-'BS (3)'!C36</f>
        <v>-181556151</v>
      </c>
      <c r="D77" s="79"/>
      <c r="E77" s="79">
        <f>-'BS (3)'!E36</f>
        <v>-60642856</v>
      </c>
      <c r="F77" s="79"/>
      <c r="G77" s="79">
        <f t="shared" si="7"/>
        <v>120913295</v>
      </c>
      <c r="H77" s="79"/>
      <c r="I77" s="79"/>
      <c r="J77" s="79">
        <v>211397985.76999974</v>
      </c>
      <c r="K77" s="79"/>
      <c r="L77" s="79">
        <v>301182102.54000002</v>
      </c>
      <c r="M77" s="79"/>
      <c r="N77" s="79">
        <v>445664142</v>
      </c>
      <c r="O77" s="119">
        <f>-'BS (3)'!N36</f>
        <v>-200636810</v>
      </c>
      <c r="P77" s="79"/>
      <c r="Q77" s="79">
        <f>-'BS (3)'!P36</f>
        <v>-76446291</v>
      </c>
      <c r="R77" s="79"/>
      <c r="S77" s="79">
        <f t="shared" si="8"/>
        <v>124190519</v>
      </c>
    </row>
    <row r="78" spans="1:23" ht="15.75" customHeight="1">
      <c r="A78" s="77"/>
      <c r="B78" s="78"/>
      <c r="C78" s="119"/>
      <c r="D78" s="79"/>
      <c r="E78" s="79"/>
      <c r="F78" s="79"/>
      <c r="G78" s="79"/>
      <c r="H78" s="1189">
        <f>2271390.21+2412449.48+2344656.91</f>
        <v>7028496.5999999996</v>
      </c>
      <c r="I78" s="79"/>
      <c r="J78" s="79"/>
      <c r="K78" s="79"/>
      <c r="L78" s="79"/>
      <c r="M78" s="79"/>
      <c r="N78" s="79"/>
      <c r="O78" s="119"/>
      <c r="P78" s="79"/>
      <c r="Q78" s="79"/>
      <c r="R78" s="79"/>
      <c r="S78" s="79"/>
      <c r="T78" s="1189">
        <f>2271390.21+2412449.48+2344656.91</f>
        <v>7028496.5999999996</v>
      </c>
    </row>
    <row r="79" spans="1:23" ht="15.75" customHeight="1">
      <c r="A79" s="77"/>
      <c r="B79" s="78"/>
      <c r="C79" s="119"/>
      <c r="D79" s="79"/>
      <c r="E79" s="79"/>
      <c r="F79" s="79"/>
      <c r="G79" s="79"/>
      <c r="H79" s="1189">
        <f>-(136530+110745+880440+100290)</f>
        <v>-1228005</v>
      </c>
      <c r="I79" s="79"/>
      <c r="J79" s="79"/>
      <c r="K79" s="79"/>
      <c r="L79" s="79"/>
      <c r="M79" s="79"/>
      <c r="N79" s="79"/>
      <c r="O79" s="119"/>
      <c r="P79" s="79"/>
      <c r="Q79" s="79"/>
      <c r="R79" s="79"/>
      <c r="S79" s="79"/>
      <c r="T79" s="1189">
        <f>-(136530+110745+880440+100290)</f>
        <v>-1228005</v>
      </c>
    </row>
    <row r="80" spans="1:23" ht="15.75" customHeight="1">
      <c r="A80" s="77"/>
      <c r="B80" s="78"/>
      <c r="C80" s="119"/>
      <c r="D80" s="79"/>
      <c r="E80" s="79"/>
      <c r="F80" s="79"/>
      <c r="G80" s="79"/>
      <c r="H80" s="1188">
        <f>G77-H77-H78-H79</f>
        <v>115112803.40000001</v>
      </c>
      <c r="I80" s="79"/>
      <c r="J80" s="79"/>
      <c r="K80" s="79"/>
      <c r="L80" s="79"/>
      <c r="M80" s="79"/>
      <c r="N80" s="79"/>
      <c r="O80" s="119"/>
      <c r="P80" s="79"/>
      <c r="Q80" s="79"/>
      <c r="R80" s="79"/>
      <c r="S80" s="79"/>
      <c r="T80" s="1188">
        <f>S77-T77-T78-T79</f>
        <v>118390027.40000001</v>
      </c>
    </row>
    <row r="81" spans="1:20" ht="15.75" customHeight="1">
      <c r="A81" s="77"/>
      <c r="B81" s="78"/>
      <c r="C81" s="119"/>
      <c r="D81" s="79"/>
      <c r="E81" s="79"/>
      <c r="F81" s="79"/>
      <c r="G81" s="79"/>
      <c r="H81" s="79"/>
      <c r="I81" s="79"/>
      <c r="J81" s="79"/>
      <c r="K81" s="79"/>
      <c r="L81" s="79"/>
      <c r="M81" s="79"/>
      <c r="N81" s="79"/>
      <c r="O81" s="119"/>
      <c r="P81" s="79"/>
      <c r="Q81" s="79"/>
      <c r="R81" s="79"/>
      <c r="S81" s="79"/>
    </row>
    <row r="82" spans="1:20" ht="15.75" customHeight="1">
      <c r="A82" s="80"/>
      <c r="B82" s="89"/>
      <c r="C82" s="123"/>
      <c r="D82" s="90"/>
      <c r="E82" s="106"/>
      <c r="F82" s="90"/>
      <c r="G82" s="79"/>
      <c r="H82" s="79"/>
      <c r="I82" s="90"/>
      <c r="J82" s="106"/>
      <c r="K82" s="90"/>
      <c r="L82" s="90"/>
      <c r="M82" s="90"/>
      <c r="N82" s="90"/>
      <c r="O82" s="123"/>
      <c r="P82" s="90"/>
      <c r="Q82" s="106"/>
      <c r="R82" s="90"/>
      <c r="S82" s="79"/>
    </row>
    <row r="83" spans="1:20" ht="15.75" customHeight="1">
      <c r="A83" s="80"/>
      <c r="B83" s="89"/>
      <c r="C83" s="121"/>
      <c r="D83" s="90"/>
      <c r="E83" s="90"/>
      <c r="F83" s="90"/>
      <c r="G83" s="79"/>
      <c r="H83" s="79"/>
      <c r="I83" s="90"/>
      <c r="J83" s="90"/>
      <c r="K83" s="90"/>
      <c r="L83" s="90"/>
      <c r="M83" s="90"/>
      <c r="N83" s="90"/>
      <c r="O83" s="121"/>
      <c r="P83" s="90"/>
      <c r="Q83" s="90"/>
      <c r="R83" s="90"/>
      <c r="S83" s="79"/>
    </row>
    <row r="84" spans="1:20" s="91" customFormat="1" ht="15.75" customHeight="1">
      <c r="A84" s="80" t="s">
        <v>109</v>
      </c>
      <c r="B84" s="89"/>
      <c r="C84" s="121"/>
      <c r="D84" s="90"/>
      <c r="E84" s="90"/>
      <c r="F84" s="90"/>
      <c r="G84" s="79"/>
      <c r="H84" s="79"/>
      <c r="I84" s="90"/>
      <c r="J84" s="90"/>
      <c r="K84" s="90"/>
      <c r="L84" s="90"/>
      <c r="M84" s="90"/>
      <c r="N84" s="90"/>
      <c r="O84" s="121"/>
      <c r="P84" s="90"/>
      <c r="Q84" s="90"/>
      <c r="R84" s="90"/>
      <c r="S84" s="79"/>
      <c r="T84" s="277"/>
    </row>
    <row r="85" spans="1:20" s="75" customFormat="1" ht="15.75" customHeight="1">
      <c r="A85" s="77" t="s">
        <v>447</v>
      </c>
      <c r="B85" s="78"/>
      <c r="C85" s="119">
        <f>-'BS (3)'!C40</f>
        <v>-12836073308</v>
      </c>
      <c r="D85" s="79"/>
      <c r="E85" s="79">
        <f>-'BS (3)'!E40</f>
        <v>-12636073308</v>
      </c>
      <c r="F85" s="79"/>
      <c r="G85" s="79">
        <f t="shared" ref="G85:G100" si="9">E85-C85</f>
        <v>200000000</v>
      </c>
      <c r="H85" s="79"/>
      <c r="I85" s="79"/>
      <c r="J85" s="79">
        <v>211397985.76999974</v>
      </c>
      <c r="K85" s="79"/>
      <c r="L85" s="79">
        <v>301182102.54000002</v>
      </c>
      <c r="M85" s="79"/>
      <c r="N85" s="79">
        <v>445664142</v>
      </c>
      <c r="O85" s="119">
        <f>-'BS (3)'!N40</f>
        <v>-12836073308</v>
      </c>
      <c r="P85" s="79"/>
      <c r="Q85" s="79">
        <f>-'BS (3)'!P40</f>
        <v>-12636073308</v>
      </c>
      <c r="R85" s="79"/>
      <c r="S85" s="79">
        <f t="shared" ref="S85:S100" si="10">Q85-O85</f>
        <v>200000000</v>
      </c>
      <c r="T85" s="278"/>
    </row>
    <row r="86" spans="1:20" s="75" customFormat="1" ht="15.75" customHeight="1">
      <c r="A86" s="77"/>
      <c r="B86" s="78"/>
      <c r="C86" s="119"/>
      <c r="D86" s="79"/>
      <c r="E86" s="79"/>
      <c r="F86" s="79"/>
      <c r="G86" s="79"/>
      <c r="H86" s="1194">
        <f>G85</f>
        <v>200000000</v>
      </c>
      <c r="I86" s="79"/>
      <c r="J86" s="79"/>
      <c r="K86" s="79"/>
      <c r="L86" s="79"/>
      <c r="M86" s="79"/>
      <c r="N86" s="79"/>
      <c r="O86" s="119"/>
      <c r="P86" s="79"/>
      <c r="Q86" s="79"/>
      <c r="R86" s="79"/>
      <c r="S86" s="79"/>
      <c r="T86" s="1194">
        <f>S85</f>
        <v>200000000</v>
      </c>
    </row>
    <row r="87" spans="1:20" s="75" customFormat="1" ht="15.75" customHeight="1">
      <c r="A87" s="77"/>
      <c r="B87" s="78"/>
      <c r="C87" s="119"/>
      <c r="D87" s="79"/>
      <c r="E87" s="79"/>
      <c r="F87" s="79"/>
      <c r="G87" s="79"/>
      <c r="H87" s="79"/>
      <c r="I87" s="79"/>
      <c r="J87" s="79"/>
      <c r="K87" s="79"/>
      <c r="L87" s="79"/>
      <c r="M87" s="79"/>
      <c r="N87" s="79"/>
      <c r="O87" s="119"/>
      <c r="P87" s="79"/>
      <c r="Q87" s="79"/>
      <c r="R87" s="79"/>
      <c r="S87" s="79"/>
      <c r="T87" s="278"/>
    </row>
    <row r="88" spans="1:20" ht="15.75" customHeight="1">
      <c r="A88" s="77" t="s">
        <v>110</v>
      </c>
      <c r="B88" s="78"/>
      <c r="C88" s="119">
        <f>-'BS (3)'!C41</f>
        <v>-1103066889</v>
      </c>
      <c r="D88" s="79"/>
      <c r="E88" s="79">
        <f>-'BS (3)'!E41</f>
        <v>-930498048.76999998</v>
      </c>
      <c r="F88" s="79"/>
      <c r="G88" s="79">
        <f t="shared" si="9"/>
        <v>172568840.23000002</v>
      </c>
      <c r="H88" s="79"/>
      <c r="I88" s="79"/>
      <c r="J88" s="79">
        <v>211397985.76999974</v>
      </c>
      <c r="K88" s="79"/>
      <c r="L88" s="79">
        <v>301182102.54000002</v>
      </c>
      <c r="M88" s="79"/>
      <c r="N88" s="79">
        <v>445664142</v>
      </c>
      <c r="O88" s="119">
        <f>-'BS (3)'!N41</f>
        <v>-1103066889</v>
      </c>
      <c r="P88" s="79"/>
      <c r="Q88" s="79">
        <f>-'BS (3)'!P41</f>
        <v>-930498048.76999998</v>
      </c>
      <c r="R88" s="79"/>
      <c r="S88" s="79">
        <f t="shared" si="10"/>
        <v>172568840.23000002</v>
      </c>
    </row>
    <row r="89" spans="1:20" ht="15.75" customHeight="1">
      <c r="A89" s="77"/>
      <c r="B89" s="78"/>
      <c r="C89" s="119"/>
      <c r="D89" s="79"/>
      <c r="E89" s="79"/>
      <c r="F89" s="79"/>
      <c r="G89" s="79"/>
      <c r="H89" s="1194">
        <f>-H94</f>
        <v>33792232</v>
      </c>
      <c r="I89" s="79"/>
      <c r="J89" s="79"/>
      <c r="K89" s="79"/>
      <c r="L89" s="79"/>
      <c r="M89" s="79"/>
      <c r="N89" s="79"/>
      <c r="O89" s="119"/>
      <c r="P89" s="79"/>
      <c r="Q89" s="79"/>
      <c r="R89" s="79"/>
      <c r="S89" s="79"/>
      <c r="T89" s="1229">
        <f>-T94</f>
        <v>33792232</v>
      </c>
    </row>
    <row r="90" spans="1:20" ht="15.75" customHeight="1">
      <c r="A90" s="77"/>
      <c r="B90" s="78"/>
      <c r="C90" s="119"/>
      <c r="D90" s="79"/>
      <c r="E90" s="79"/>
      <c r="F90" s="79"/>
      <c r="G90" s="79"/>
      <c r="H90" s="79"/>
      <c r="I90" s="79"/>
      <c r="J90" s="79"/>
      <c r="K90" s="79"/>
      <c r="L90" s="79"/>
      <c r="M90" s="79"/>
      <c r="N90" s="79"/>
      <c r="O90" s="119"/>
      <c r="P90" s="79"/>
      <c r="Q90" s="79"/>
      <c r="R90" s="79"/>
      <c r="S90" s="79"/>
    </row>
    <row r="91" spans="1:20" ht="15.75" customHeight="1">
      <c r="A91" s="77" t="s">
        <v>111</v>
      </c>
      <c r="B91" s="78"/>
      <c r="C91" s="119">
        <f>-'BS (3)'!C42</f>
        <v>-4693338073</v>
      </c>
      <c r="D91" s="79"/>
      <c r="E91" s="79">
        <f>-'BS (3)'!E42</f>
        <v>-3747127757</v>
      </c>
      <c r="F91" s="79"/>
      <c r="G91" s="79">
        <f t="shared" si="9"/>
        <v>946210316</v>
      </c>
      <c r="H91" s="79"/>
      <c r="I91" s="79"/>
      <c r="J91" s="79">
        <v>211397985.76999974</v>
      </c>
      <c r="K91" s="79"/>
      <c r="L91" s="79">
        <v>301182102.54000002</v>
      </c>
      <c r="M91" s="79"/>
      <c r="N91" s="79">
        <v>445664142</v>
      </c>
      <c r="O91" s="119">
        <f>-'BS (3)'!N42</f>
        <v>-5385880698</v>
      </c>
      <c r="P91" s="79"/>
      <c r="Q91" s="79">
        <f>-'BS (3)'!P42</f>
        <v>-4037794500</v>
      </c>
      <c r="R91" s="79"/>
      <c r="S91" s="79">
        <f t="shared" si="10"/>
        <v>1348086198</v>
      </c>
    </row>
    <row r="92" spans="1:20" ht="15.75" customHeight="1">
      <c r="A92" s="77"/>
      <c r="B92" s="78"/>
      <c r="C92" s="119"/>
      <c r="D92" s="79"/>
      <c r="E92" s="79"/>
      <c r="F92" s="79"/>
      <c r="G92" s="79"/>
      <c r="H92" s="1188">
        <f>'P &amp; L (C &amp; G)'!C33</f>
        <v>2447934756.9799995</v>
      </c>
      <c r="I92" s="79"/>
      <c r="J92" s="79"/>
      <c r="K92" s="79"/>
      <c r="L92" s="79"/>
      <c r="M92" s="79"/>
      <c r="N92" s="79"/>
      <c r="O92" s="119"/>
      <c r="P92" s="79"/>
      <c r="Q92" s="79"/>
      <c r="R92" s="79"/>
      <c r="S92" s="79"/>
      <c r="T92" s="276">
        <f>'P &amp; L (C &amp; G)'!I33</f>
        <v>2647020848.7700005</v>
      </c>
    </row>
    <row r="93" spans="1:20" ht="15.75" customHeight="1">
      <c r="A93" s="77"/>
      <c r="B93" s="78"/>
      <c r="C93" s="119"/>
      <c r="D93" s="79"/>
      <c r="E93" s="79"/>
      <c r="F93" s="79"/>
      <c r="G93" s="79"/>
      <c r="H93" s="1194">
        <f>-'P &amp; L (C &amp; G)'!C35</f>
        <v>-700945895</v>
      </c>
      <c r="I93" s="79"/>
      <c r="J93" s="79"/>
      <c r="K93" s="79"/>
      <c r="L93" s="79"/>
      <c r="M93" s="79"/>
      <c r="N93" s="79"/>
      <c r="O93" s="119"/>
      <c r="P93" s="79"/>
      <c r="Q93" s="79"/>
      <c r="R93" s="79"/>
      <c r="S93" s="79"/>
      <c r="T93" s="1228">
        <f>-'P &amp; L (C &amp; G)'!I35</f>
        <v>-773455249</v>
      </c>
    </row>
    <row r="94" spans="1:20" ht="15.75" customHeight="1">
      <c r="A94" s="77"/>
      <c r="B94" s="78"/>
      <c r="C94" s="119"/>
      <c r="D94" s="79"/>
      <c r="E94" s="79"/>
      <c r="F94" s="79"/>
      <c r="G94" s="79"/>
      <c r="H94" s="1194">
        <f>-'CE_Company (2)'!D44</f>
        <v>-33792232</v>
      </c>
      <c r="I94" s="79"/>
      <c r="J94" s="79"/>
      <c r="K94" s="79"/>
      <c r="L94" s="79"/>
      <c r="M94" s="79"/>
      <c r="N94" s="79"/>
      <c r="O94" s="119"/>
      <c r="P94" s="79"/>
      <c r="Q94" s="79"/>
      <c r="R94" s="79"/>
      <c r="S94" s="79"/>
      <c r="T94" s="1228">
        <f>-'CE_Group 1 (2)'!D41</f>
        <v>-33792232</v>
      </c>
    </row>
    <row r="95" spans="1:20" ht="15.75" customHeight="1">
      <c r="A95" s="77"/>
      <c r="B95" s="78"/>
      <c r="C95" s="119"/>
      <c r="D95" s="79"/>
      <c r="E95" s="79"/>
      <c r="F95" s="79"/>
      <c r="G95" s="79"/>
      <c r="H95" s="1194">
        <f>-'CE_Company (2)'!J44</f>
        <v>-28006584</v>
      </c>
      <c r="I95" s="79"/>
      <c r="J95" s="79"/>
      <c r="K95" s="79"/>
      <c r="L95" s="79"/>
      <c r="M95" s="79"/>
      <c r="N95" s="79"/>
      <c r="O95" s="119"/>
      <c r="P95" s="79"/>
      <c r="Q95" s="79"/>
      <c r="R95" s="79"/>
      <c r="S95" s="79"/>
      <c r="T95" s="1228">
        <f>-'CE_Group 1 (2)'!J41</f>
        <v>-28006584</v>
      </c>
    </row>
    <row r="96" spans="1:20" ht="15.75" customHeight="1">
      <c r="A96" s="77"/>
      <c r="B96" s="78"/>
      <c r="C96" s="119"/>
      <c r="D96" s="79"/>
      <c r="E96" s="79"/>
      <c r="F96" s="79"/>
      <c r="G96" s="79"/>
      <c r="H96" s="1194">
        <f>-H86</f>
        <v>-200000000</v>
      </c>
      <c r="I96" s="79"/>
      <c r="J96" s="79"/>
      <c r="K96" s="79"/>
      <c r="L96" s="79"/>
      <c r="M96" s="79"/>
      <c r="N96" s="79"/>
      <c r="O96" s="119"/>
      <c r="P96" s="79"/>
      <c r="Q96" s="79"/>
      <c r="R96" s="79"/>
      <c r="S96" s="79"/>
      <c r="T96" s="1194">
        <f>-T86</f>
        <v>-200000000</v>
      </c>
    </row>
    <row r="97" spans="1:20" ht="15.75" customHeight="1">
      <c r="A97" s="77"/>
      <c r="B97" s="78"/>
      <c r="C97" s="119"/>
      <c r="D97" s="79"/>
      <c r="E97" s="79"/>
      <c r="F97" s="79"/>
      <c r="G97" s="79"/>
      <c r="H97" s="1188">
        <f>'CE_Company (2)'!P45</f>
        <v>-789931241</v>
      </c>
      <c r="I97" s="79"/>
      <c r="J97" s="79"/>
      <c r="K97" s="79"/>
      <c r="L97" s="79"/>
      <c r="M97" s="79"/>
      <c r="N97" s="79"/>
      <c r="O97" s="119"/>
      <c r="P97" s="79"/>
      <c r="Q97" s="79"/>
      <c r="R97" s="79"/>
      <c r="S97" s="79"/>
      <c r="T97" s="276">
        <f>'CE_Group 1 (2)'!R43</f>
        <v>-789931241</v>
      </c>
    </row>
    <row r="98" spans="1:20" ht="15.75" customHeight="1">
      <c r="A98" s="77"/>
      <c r="B98" s="78"/>
      <c r="C98" s="119"/>
      <c r="D98" s="79"/>
      <c r="E98" s="79"/>
      <c r="F98" s="79"/>
      <c r="G98" s="79"/>
      <c r="H98" s="1190">
        <f>G91-H92-H93-H94-H95-H96-H97</f>
        <v>250951511.02000046</v>
      </c>
      <c r="I98" s="79"/>
      <c r="J98" s="79"/>
      <c r="K98" s="79"/>
      <c r="L98" s="79"/>
      <c r="M98" s="79"/>
      <c r="N98" s="79"/>
      <c r="O98" s="119"/>
      <c r="P98" s="79"/>
      <c r="Q98" s="79"/>
      <c r="R98" s="79"/>
      <c r="S98" s="79"/>
      <c r="T98" s="1190">
        <f>S91-T92-T93-T94-T95-T96-T97</f>
        <v>526250655.22999954</v>
      </c>
    </row>
    <row r="99" spans="1:20" ht="15.75" customHeight="1">
      <c r="A99" s="77"/>
      <c r="B99" s="78"/>
      <c r="C99" s="119"/>
      <c r="D99" s="79"/>
      <c r="E99" s="79"/>
      <c r="F99" s="79"/>
      <c r="G99" s="79"/>
      <c r="H99" s="79"/>
      <c r="I99" s="79"/>
      <c r="J99" s="79"/>
      <c r="K99" s="79"/>
      <c r="L99" s="79"/>
      <c r="M99" s="79"/>
      <c r="N99" s="79"/>
      <c r="O99" s="119"/>
      <c r="P99" s="79"/>
      <c r="Q99" s="79"/>
      <c r="R99" s="79"/>
      <c r="S99" s="79"/>
    </row>
    <row r="100" spans="1:20" ht="15.75" customHeight="1">
      <c r="A100" s="77" t="s">
        <v>112</v>
      </c>
      <c r="B100" s="78"/>
      <c r="C100" s="119">
        <f>-'BS (3)'!C43</f>
        <v>-1612227887</v>
      </c>
      <c r="D100" s="79"/>
      <c r="E100" s="79">
        <f>-'BS (3)'!E43</f>
        <v>-1329573464.4099998</v>
      </c>
      <c r="F100" s="79"/>
      <c r="G100" s="79">
        <f t="shared" si="9"/>
        <v>282654422.59000015</v>
      </c>
      <c r="H100" s="79"/>
      <c r="I100" s="79"/>
      <c r="J100" s="79">
        <v>211397985.76999974</v>
      </c>
      <c r="K100" s="79"/>
      <c r="L100" s="79">
        <v>301182102.54000002</v>
      </c>
      <c r="M100" s="79"/>
      <c r="N100" s="79">
        <v>445664142</v>
      </c>
      <c r="O100" s="119">
        <f>-'BS (3)'!N43</f>
        <v>-1624718712</v>
      </c>
      <c r="P100" s="79"/>
      <c r="Q100" s="79">
        <f>-'BS (3)'!P43</f>
        <v>-1327675184.4099998</v>
      </c>
      <c r="R100" s="79"/>
      <c r="S100" s="79">
        <f t="shared" si="10"/>
        <v>297043527.59000015</v>
      </c>
    </row>
    <row r="101" spans="1:20" ht="15.75" customHeight="1">
      <c r="A101" s="77"/>
      <c r="B101" s="78"/>
      <c r="C101" s="119"/>
      <c r="D101" s="79"/>
      <c r="E101" s="79"/>
      <c r="F101" s="79"/>
      <c r="G101" s="79"/>
      <c r="H101" s="1194">
        <f>-H95</f>
        <v>28006584</v>
      </c>
      <c r="I101" s="79"/>
      <c r="J101" s="79"/>
      <c r="K101" s="79"/>
      <c r="L101" s="79"/>
      <c r="M101" s="79"/>
      <c r="N101" s="79"/>
      <c r="O101" s="119"/>
      <c r="P101" s="79"/>
      <c r="Q101" s="79"/>
      <c r="R101" s="79"/>
      <c r="S101" s="79"/>
      <c r="T101" s="1228">
        <f>-T95</f>
        <v>28006584</v>
      </c>
    </row>
    <row r="102" spans="1:20" ht="15.75" customHeight="1">
      <c r="A102" s="77"/>
      <c r="B102" s="78"/>
      <c r="C102" s="119"/>
      <c r="D102" s="79"/>
      <c r="E102" s="79"/>
      <c r="F102" s="79"/>
      <c r="G102" s="79"/>
      <c r="H102" s="1194">
        <f>'CE_Company (2)'!L39</f>
        <v>150811609</v>
      </c>
      <c r="I102" s="79"/>
      <c r="J102" s="79"/>
      <c r="K102" s="79"/>
      <c r="L102" s="79"/>
      <c r="M102" s="79"/>
      <c r="N102" s="79"/>
      <c r="O102" s="119"/>
      <c r="P102" s="79"/>
      <c r="Q102" s="79"/>
      <c r="R102" s="79"/>
      <c r="S102" s="79"/>
      <c r="T102" s="1228">
        <f>'CE_Group 1 (2)'!N37</f>
        <v>159322441</v>
      </c>
    </row>
    <row r="103" spans="1:20" ht="15.75" customHeight="1">
      <c r="A103" s="77"/>
      <c r="B103" s="78"/>
      <c r="C103" s="119"/>
      <c r="D103" s="79"/>
      <c r="E103" s="79"/>
      <c r="F103" s="79"/>
      <c r="G103" s="79"/>
      <c r="H103" s="1194">
        <f>'CE_Company (2)'!N39</f>
        <v>-58957007</v>
      </c>
      <c r="I103" s="79"/>
      <c r="J103" s="79"/>
      <c r="K103" s="79"/>
      <c r="L103" s="79"/>
      <c r="M103" s="79"/>
      <c r="N103" s="79"/>
      <c r="O103" s="119"/>
      <c r="P103" s="79"/>
      <c r="Q103" s="79"/>
      <c r="R103" s="79"/>
      <c r="S103" s="79"/>
      <c r="T103" s="1228">
        <f>'CE_Group 1 (2)'!P37</f>
        <v>-58957007</v>
      </c>
    </row>
    <row r="104" spans="1:20" s="91" customFormat="1" ht="15.75" customHeight="1">
      <c r="A104" s="80"/>
      <c r="B104" s="89"/>
      <c r="C104" s="123"/>
      <c r="D104" s="90"/>
      <c r="E104" s="106"/>
      <c r="F104" s="90"/>
      <c r="G104" s="79"/>
      <c r="H104" s="79"/>
      <c r="I104" s="90"/>
      <c r="J104" s="106"/>
      <c r="K104" s="90"/>
      <c r="L104" s="90"/>
      <c r="M104" s="90"/>
      <c r="N104" s="90"/>
      <c r="O104" s="123"/>
      <c r="P104" s="90"/>
      <c r="Q104" s="106"/>
      <c r="R104" s="90"/>
      <c r="S104" s="79"/>
      <c r="T104" s="277"/>
    </row>
    <row r="105" spans="1:20" s="91" customFormat="1" ht="15.75" customHeight="1">
      <c r="A105" s="80"/>
      <c r="B105" s="89"/>
      <c r="C105" s="1185"/>
      <c r="D105" s="90"/>
      <c r="E105" s="1186"/>
      <c r="F105" s="90"/>
      <c r="G105" s="79"/>
      <c r="H105" s="79"/>
      <c r="I105" s="90"/>
      <c r="J105" s="1186"/>
      <c r="K105" s="90"/>
      <c r="L105" s="90"/>
      <c r="M105" s="90"/>
      <c r="N105" s="90"/>
      <c r="O105" s="1185"/>
      <c r="P105" s="90"/>
      <c r="Q105" s="1186"/>
      <c r="R105" s="90"/>
      <c r="S105" s="79"/>
      <c r="T105" s="277"/>
    </row>
    <row r="106" spans="1:20" s="91" customFormat="1" ht="15.75" customHeight="1" thickBot="1">
      <c r="A106" s="80"/>
      <c r="B106" s="89"/>
      <c r="C106" s="418">
        <f>SUM(C9:C100)</f>
        <v>-47260902479</v>
      </c>
      <c r="D106" s="419"/>
      <c r="E106" s="1187">
        <f>SUM(E9:E100)</f>
        <v>-43669277913.179993</v>
      </c>
      <c r="F106" s="419"/>
      <c r="G106" s="1187">
        <f>SUM(G9:G100)</f>
        <v>3591624565.8200002</v>
      </c>
      <c r="H106" s="1187">
        <f>SUM(H9:H103)</f>
        <v>3689054721</v>
      </c>
      <c r="I106" s="90"/>
      <c r="J106" s="127"/>
      <c r="K106" s="90"/>
      <c r="L106" s="90"/>
      <c r="M106" s="90"/>
      <c r="N106" s="90"/>
      <c r="O106" s="126">
        <f>SUM(O9:O100)</f>
        <v>-46836870469</v>
      </c>
      <c r="P106" s="90"/>
      <c r="Q106" s="127">
        <f>SUM(Q9:Q100)</f>
        <v>-43297068449.179993</v>
      </c>
      <c r="R106" s="90"/>
      <c r="S106" s="127">
        <f>SUM(S9:S100)</f>
        <v>3539802019.8200002</v>
      </c>
      <c r="T106" s="1187">
        <f>SUM(T9:T103)</f>
        <v>3232353902</v>
      </c>
    </row>
    <row r="107" spans="1:20" s="97" customFormat="1" ht="15.75" customHeight="1" thickTop="1">
      <c r="A107" s="94"/>
      <c r="B107" s="95"/>
      <c r="C107" s="124"/>
      <c r="D107" s="96"/>
      <c r="E107" s="96"/>
      <c r="F107" s="96"/>
      <c r="G107" s="79"/>
      <c r="H107" s="79"/>
      <c r="I107" s="96"/>
      <c r="J107" s="96"/>
      <c r="K107" s="96"/>
      <c r="L107" s="96"/>
      <c r="M107" s="96"/>
      <c r="N107" s="96"/>
      <c r="O107" s="124"/>
      <c r="P107" s="96"/>
      <c r="Q107" s="96"/>
      <c r="R107" s="96"/>
      <c r="S107" s="79"/>
      <c r="T107" s="1220"/>
    </row>
    <row r="109" spans="1:20">
      <c r="A109" s="72" t="s">
        <v>562</v>
      </c>
    </row>
    <row r="110" spans="1:20">
      <c r="A110" s="72"/>
    </row>
    <row r="111" spans="1:20">
      <c r="A111" s="75" t="s">
        <v>555</v>
      </c>
      <c r="H111" s="1196">
        <f>H37</f>
        <v>99998080</v>
      </c>
      <c r="T111" s="1196">
        <f>T37</f>
        <v>135350822</v>
      </c>
    </row>
    <row r="112" spans="1:20">
      <c r="A112" s="75" t="s">
        <v>556</v>
      </c>
      <c r="H112" s="1196">
        <f>H30</f>
        <v>7910728</v>
      </c>
      <c r="T112" s="1196">
        <f>T30</f>
        <v>14309338</v>
      </c>
    </row>
    <row r="113" spans="1:20">
      <c r="A113" s="75" t="s">
        <v>557</v>
      </c>
      <c r="H113" s="1196">
        <f>H17</f>
        <v>0</v>
      </c>
      <c r="T113" s="1196">
        <f>T17</f>
        <v>0</v>
      </c>
    </row>
    <row r="114" spans="1:20">
      <c r="A114" s="75" t="s">
        <v>558</v>
      </c>
      <c r="H114" s="74">
        <f>H78</f>
        <v>7028496.5999999996</v>
      </c>
      <c r="T114" s="74">
        <f>T78</f>
        <v>7028496.5999999996</v>
      </c>
    </row>
    <row r="115" spans="1:20">
      <c r="A115" s="75" t="s">
        <v>559</v>
      </c>
      <c r="H115" s="74">
        <f>H38</f>
        <v>-5132867.3</v>
      </c>
      <c r="T115" s="74">
        <f>T38</f>
        <v>-5132867.3</v>
      </c>
    </row>
    <row r="116" spans="1:20">
      <c r="A116" s="75" t="s">
        <v>560</v>
      </c>
      <c r="H116" s="74">
        <f>H18</f>
        <v>0</v>
      </c>
      <c r="T116" s="74">
        <f>T18</f>
        <v>0</v>
      </c>
    </row>
    <row r="117" spans="1:20">
      <c r="A117" s="75" t="s">
        <v>561</v>
      </c>
      <c r="H117" s="74">
        <f>H13</f>
        <v>-15232984.6</v>
      </c>
      <c r="T117" s="74">
        <f>T13</f>
        <v>-30849367.600000001</v>
      </c>
    </row>
    <row r="118" spans="1:20" ht="16.5" thickBot="1">
      <c r="H118" s="1192">
        <f>SUM(H111:H117)</f>
        <v>94571452.700000003</v>
      </c>
      <c r="T118" s="1192">
        <f>SUM(T111:T117)</f>
        <v>120706421.69999999</v>
      </c>
    </row>
    <row r="119" spans="1:20" ht="16.5" thickTop="1">
      <c r="T119" s="74"/>
    </row>
    <row r="120" spans="1:20">
      <c r="A120" s="72" t="s">
        <v>563</v>
      </c>
      <c r="T120" s="74"/>
    </row>
    <row r="121" spans="1:20">
      <c r="T121" s="74"/>
    </row>
    <row r="122" spans="1:20">
      <c r="A122" s="75" t="s">
        <v>564</v>
      </c>
      <c r="H122" s="1196">
        <f>H10</f>
        <v>281421813</v>
      </c>
      <c r="T122" s="1196">
        <f>T10</f>
        <v>108977954</v>
      </c>
    </row>
    <row r="123" spans="1:20">
      <c r="A123" s="75" t="s">
        <v>565</v>
      </c>
      <c r="H123" s="1196">
        <f>H14</f>
        <v>-31445170.399999999</v>
      </c>
      <c r="T123" s="1196">
        <f>T14</f>
        <v>-132630062.40000001</v>
      </c>
    </row>
    <row r="124" spans="1:20">
      <c r="A124" s="75" t="s">
        <v>566</v>
      </c>
      <c r="H124" s="1196">
        <f>H19</f>
        <v>748798905</v>
      </c>
      <c r="T124" s="1196">
        <f>T19</f>
        <v>748798905</v>
      </c>
    </row>
    <row r="125" spans="1:20">
      <c r="A125" s="75" t="s">
        <v>567</v>
      </c>
      <c r="H125" s="1196">
        <f>H11+H65</f>
        <v>115395666</v>
      </c>
      <c r="T125" s="1196">
        <f>T11+T65</f>
        <v>115395666</v>
      </c>
    </row>
    <row r="126" spans="1:20">
      <c r="A126" s="75" t="s">
        <v>568</v>
      </c>
      <c r="H126" s="74">
        <f>H21</f>
        <v>0</v>
      </c>
      <c r="T126" s="74">
        <f>T21</f>
        <v>-113395339</v>
      </c>
    </row>
    <row r="127" spans="1:20">
      <c r="A127" s="75" t="s">
        <v>569</v>
      </c>
      <c r="H127" s="74">
        <f>H24</f>
        <v>0</v>
      </c>
      <c r="T127" s="74">
        <f>T24</f>
        <v>-538178986</v>
      </c>
    </row>
    <row r="128" spans="1:20">
      <c r="A128" s="75" t="s">
        <v>570</v>
      </c>
      <c r="H128" s="1196">
        <f>H26</f>
        <v>-2897509072</v>
      </c>
      <c r="T128" s="1196">
        <f>T26</f>
        <v>-2897509072</v>
      </c>
    </row>
    <row r="129" spans="1:20">
      <c r="A129" s="75" t="s">
        <v>571</v>
      </c>
      <c r="H129" s="1196">
        <f>H46</f>
        <v>-452160000</v>
      </c>
      <c r="T129" s="1196">
        <f>T46</f>
        <v>-492028007</v>
      </c>
    </row>
    <row r="130" spans="1:20" ht="16.5" thickBot="1">
      <c r="H130" s="1192">
        <f>SUM(H122:H129)</f>
        <v>-2235497858.4000001</v>
      </c>
      <c r="T130" s="1192">
        <f>SUM(T122:T129)</f>
        <v>-3200568941.4000001</v>
      </c>
    </row>
    <row r="131" spans="1:20" ht="16.5" thickTop="1">
      <c r="T131" s="74"/>
    </row>
    <row r="132" spans="1:20">
      <c r="T132" s="74"/>
    </row>
    <row r="133" spans="1:20">
      <c r="A133" s="72" t="s">
        <v>572</v>
      </c>
      <c r="T133" s="74"/>
    </row>
    <row r="134" spans="1:20">
      <c r="T134" s="74"/>
    </row>
    <row r="135" spans="1:20">
      <c r="A135" s="75" t="s">
        <v>578</v>
      </c>
      <c r="T135" s="74"/>
    </row>
    <row r="136" spans="1:20">
      <c r="A136" s="75" t="s">
        <v>573</v>
      </c>
      <c r="H136" s="1196">
        <f>H56</f>
        <v>10151572336</v>
      </c>
      <c r="T136" s="1196">
        <f>T56</f>
        <v>10135353519</v>
      </c>
    </row>
    <row r="137" spans="1:20">
      <c r="A137" s="75" t="s">
        <v>579</v>
      </c>
      <c r="H137" s="1196"/>
      <c r="T137" s="1196"/>
    </row>
    <row r="138" spans="1:20">
      <c r="A138" s="75" t="s">
        <v>574</v>
      </c>
      <c r="H138" s="1196">
        <f>H59</f>
        <v>-108003324.12999998</v>
      </c>
      <c r="T138" s="1196">
        <f>T59</f>
        <v>-267990463.13</v>
      </c>
    </row>
    <row r="139" spans="1:20">
      <c r="A139" s="75" t="s">
        <v>575</v>
      </c>
      <c r="H139" s="74">
        <f>H67</f>
        <v>0</v>
      </c>
      <c r="T139" s="74">
        <f>T67</f>
        <v>406604415</v>
      </c>
    </row>
    <row r="140" spans="1:20">
      <c r="A140" s="75" t="s">
        <v>576</v>
      </c>
      <c r="H140" s="1196">
        <f>H80+H72+H98</f>
        <v>148236624.42000046</v>
      </c>
      <c r="T140" s="1196">
        <f>T80+T72+T98</f>
        <v>337205655.62999952</v>
      </c>
    </row>
    <row r="141" spans="1:20" ht="16.5" thickBot="1">
      <c r="H141" s="1192">
        <f>SUM(H135:H140)</f>
        <v>10191805636.290001</v>
      </c>
      <c r="T141" s="1192">
        <f>SUM(T135:T140)</f>
        <v>10611173126.5</v>
      </c>
    </row>
    <row r="142" spans="1:20" ht="16.5" thickTop="1"/>
  </sheetData>
  <mergeCells count="3">
    <mergeCell ref="A2:S2"/>
    <mergeCell ref="C4:G4"/>
    <mergeCell ref="O4:S4"/>
  </mergeCells>
  <pageMargins left="0.45" right="0.45" top="0.75" bottom="0.75" header="0.3" footer="0.3"/>
  <pageSetup scale="88" orientation="landscape" r:id="rId1"/>
  <rowBreaks count="1" manualBreakCount="1">
    <brk id="103" max="10" man="1"/>
  </rowBreaks>
  <legacyDrawing r:id="rId2"/>
</worksheet>
</file>

<file path=xl/worksheets/sheet41.xml><?xml version="1.0" encoding="utf-8"?>
<worksheet xmlns="http://schemas.openxmlformats.org/spreadsheetml/2006/main" xmlns:r="http://schemas.openxmlformats.org/officeDocument/2006/relationships">
  <dimension ref="A1:AB142"/>
  <sheetViews>
    <sheetView workbookViewId="0">
      <pane xSplit="2" ySplit="7" topLeftCell="C126" activePane="bottomRight" state="frozen"/>
      <selection activeCell="C8" sqref="C8"/>
      <selection pane="topRight" activeCell="C8" sqref="C8"/>
      <selection pane="bottomLeft" activeCell="C8" sqref="C8"/>
      <selection pane="bottomRight" activeCell="C8" sqref="C8"/>
    </sheetView>
  </sheetViews>
  <sheetFormatPr defaultColWidth="19.7109375" defaultRowHeight="15.75"/>
  <cols>
    <col min="1" max="1" width="19.7109375" style="75"/>
    <col min="2" max="2" width="18.140625" style="73" customWidth="1"/>
    <col min="3" max="3" width="18.7109375" style="74" customWidth="1"/>
    <col min="4" max="4" width="0.85546875" style="74" customWidth="1"/>
    <col min="5" max="5" width="17.85546875" style="74" customWidth="1"/>
    <col min="6" max="6" width="1" style="74" customWidth="1"/>
    <col min="7" max="7" width="16.42578125" style="74" bestFit="1" customWidth="1"/>
    <col min="8" max="8" width="17.140625" style="74" customWidth="1"/>
    <col min="9" max="9" width="0.85546875" style="74" customWidth="1"/>
    <col min="10" max="10" width="18.7109375" style="74" hidden="1" customWidth="1"/>
    <col min="11" max="11" width="0.85546875" style="74" hidden="1" customWidth="1"/>
    <col min="12" max="12" width="18.28515625" style="74" hidden="1" customWidth="1"/>
    <col min="13" max="13" width="0.85546875" style="74" hidden="1" customWidth="1"/>
    <col min="14" max="14" width="17" style="74" hidden="1" customWidth="1"/>
    <col min="15" max="15" width="18.140625" style="75" bestFit="1" customWidth="1"/>
    <col min="16" max="16" width="0.85546875" style="75" customWidth="1"/>
    <col min="17" max="17" width="19.7109375" style="75" bestFit="1" customWidth="1"/>
    <col min="18" max="18" width="0.85546875" style="75" customWidth="1"/>
    <col min="19" max="19" width="16.42578125" style="75" customWidth="1"/>
    <col min="20" max="20" width="19.7109375" style="276"/>
    <col min="21" max="22" width="19.7109375" style="76"/>
    <col min="23" max="23" width="15.85546875" style="76" customWidth="1"/>
    <col min="24" max="16384" width="19.7109375" style="76"/>
  </cols>
  <sheetData>
    <row r="1" spans="1:20">
      <c r="C1" s="74">
        <f>C106</f>
        <v>400000000.22999954</v>
      </c>
      <c r="E1" s="74">
        <f>E106</f>
        <v>0</v>
      </c>
      <c r="G1" s="74">
        <f>G106</f>
        <v>-400000000.23000002</v>
      </c>
      <c r="H1" s="74">
        <f>H106</f>
        <v>-6011986</v>
      </c>
      <c r="O1" s="74">
        <f>O106</f>
        <v>-0.77000045776367188</v>
      </c>
      <c r="Q1" s="74">
        <f>Q106</f>
        <v>0</v>
      </c>
      <c r="S1" s="74">
        <f>S106</f>
        <v>0.76999998092651367</v>
      </c>
      <c r="T1" s="74">
        <f>T106</f>
        <v>-9567092.5500000715</v>
      </c>
    </row>
    <row r="2" spans="1:20">
      <c r="A2" s="1787" t="s">
        <v>94</v>
      </c>
      <c r="B2" s="1788"/>
      <c r="C2" s="1788"/>
      <c r="D2" s="1788"/>
      <c r="E2" s="1788"/>
      <c r="F2" s="1788"/>
      <c r="G2" s="1788"/>
      <c r="H2" s="1788"/>
      <c r="I2" s="1788"/>
      <c r="J2" s="1788"/>
      <c r="K2" s="1788"/>
      <c r="L2" s="1788"/>
      <c r="M2" s="1788"/>
      <c r="N2" s="1788"/>
      <c r="O2" s="1788"/>
      <c r="P2" s="1788"/>
      <c r="Q2" s="1788"/>
      <c r="R2" s="1788"/>
      <c r="S2" s="1788"/>
    </row>
    <row r="3" spans="1:20">
      <c r="A3" s="77"/>
      <c r="B3" s="78"/>
      <c r="C3" s="79"/>
      <c r="D3" s="79"/>
      <c r="E3" s="79"/>
      <c r="F3" s="79"/>
      <c r="G3" s="79"/>
      <c r="H3" s="79"/>
      <c r="I3" s="79"/>
      <c r="J3" s="79"/>
      <c r="K3" s="79"/>
      <c r="L3" s="79"/>
      <c r="M3" s="79"/>
      <c r="N3" s="79"/>
      <c r="O3" s="77"/>
      <c r="P3" s="77"/>
      <c r="Q3" s="77"/>
      <c r="R3" s="77"/>
      <c r="S3" s="77"/>
    </row>
    <row r="4" spans="1:20" ht="16.5" thickBot="1">
      <c r="A4" s="80"/>
      <c r="B4" s="1184"/>
      <c r="C4" s="1790" t="s">
        <v>77</v>
      </c>
      <c r="D4" s="1790"/>
      <c r="E4" s="1791"/>
      <c r="F4" s="1791"/>
      <c r="G4" s="1791"/>
      <c r="H4" s="81"/>
      <c r="I4" s="81"/>
      <c r="J4" s="81"/>
      <c r="K4" s="81"/>
      <c r="L4" s="81"/>
      <c r="M4" s="81"/>
      <c r="N4" s="81"/>
      <c r="O4" s="1792" t="s">
        <v>78</v>
      </c>
      <c r="P4" s="1792"/>
      <c r="Q4" s="1792"/>
      <c r="R4" s="1792"/>
      <c r="S4" s="1792"/>
    </row>
    <row r="5" spans="1:20">
      <c r="A5" s="80" t="s">
        <v>51</v>
      </c>
      <c r="B5" s="1184"/>
      <c r="C5" s="117" t="s">
        <v>496</v>
      </c>
      <c r="D5" s="81"/>
      <c r="E5" s="81" t="s">
        <v>53</v>
      </c>
      <c r="F5" s="81"/>
      <c r="G5" s="81" t="s">
        <v>391</v>
      </c>
      <c r="H5" s="81"/>
      <c r="I5" s="81"/>
      <c r="J5" s="81" t="s">
        <v>352</v>
      </c>
      <c r="K5" s="81"/>
      <c r="L5" s="81" t="s">
        <v>410</v>
      </c>
      <c r="M5" s="81"/>
      <c r="N5" s="81" t="s">
        <v>403</v>
      </c>
      <c r="O5" s="117" t="str">
        <f>C5</f>
        <v>30.06.2013</v>
      </c>
      <c r="P5" s="81"/>
      <c r="Q5" s="81" t="str">
        <f>E5</f>
        <v>31.03.2013</v>
      </c>
      <c r="R5" s="81"/>
      <c r="S5" s="81" t="s">
        <v>391</v>
      </c>
    </row>
    <row r="6" spans="1:20">
      <c r="A6" s="80"/>
      <c r="B6" s="1212"/>
      <c r="C6" s="117" t="s">
        <v>150</v>
      </c>
      <c r="D6" s="81"/>
      <c r="E6" s="81" t="s">
        <v>150</v>
      </c>
      <c r="F6" s="81"/>
      <c r="G6" s="81"/>
      <c r="H6" s="81"/>
      <c r="I6" s="81"/>
      <c r="J6" s="81"/>
      <c r="K6" s="81"/>
      <c r="L6" s="81"/>
      <c r="M6" s="81"/>
      <c r="N6" s="81"/>
      <c r="O6" s="117" t="s">
        <v>150</v>
      </c>
      <c r="P6" s="81"/>
      <c r="Q6" s="81" t="s">
        <v>150</v>
      </c>
      <c r="R6" s="81"/>
      <c r="S6" s="81"/>
    </row>
    <row r="7" spans="1:20" ht="16.5" thickBot="1">
      <c r="A7" s="103"/>
      <c r="B7" s="1214"/>
      <c r="C7" s="118" t="s">
        <v>148</v>
      </c>
      <c r="D7" s="1213"/>
      <c r="E7" s="1213" t="s">
        <v>163</v>
      </c>
      <c r="F7" s="1213"/>
      <c r="G7" s="1213"/>
      <c r="H7" s="1213"/>
      <c r="I7" s="1213"/>
      <c r="J7" s="1213"/>
      <c r="K7" s="1213"/>
      <c r="L7" s="1213"/>
      <c r="M7" s="1213"/>
      <c r="N7" s="1213"/>
      <c r="O7" s="118" t="s">
        <v>148</v>
      </c>
      <c r="P7" s="1213"/>
      <c r="Q7" s="1213" t="s">
        <v>163</v>
      </c>
      <c r="R7" s="1213"/>
      <c r="S7" s="1213"/>
    </row>
    <row r="8" spans="1:20">
      <c r="A8" s="80" t="s">
        <v>95</v>
      </c>
      <c r="B8" s="78"/>
      <c r="C8" s="119"/>
      <c r="D8" s="79"/>
      <c r="E8" s="79"/>
      <c r="F8" s="79"/>
      <c r="G8" s="79"/>
      <c r="H8" s="79"/>
      <c r="I8" s="79"/>
      <c r="J8" s="79"/>
      <c r="K8" s="79"/>
      <c r="L8" s="79"/>
      <c r="M8" s="79"/>
      <c r="N8" s="79"/>
      <c r="O8" s="119"/>
      <c r="P8" s="79"/>
      <c r="Q8" s="79"/>
      <c r="R8" s="79"/>
      <c r="S8" s="79"/>
    </row>
    <row r="9" spans="1:20" s="84" customFormat="1">
      <c r="A9" s="77" t="s">
        <v>436</v>
      </c>
      <c r="B9" s="78"/>
      <c r="C9" s="119">
        <v>3562752748</v>
      </c>
      <c r="D9" s="79"/>
      <c r="E9" s="79">
        <v>4006662592</v>
      </c>
      <c r="F9" s="79"/>
      <c r="G9" s="79">
        <f>E9-C9</f>
        <v>443909844</v>
      </c>
      <c r="H9" s="79">
        <f>G9</f>
        <v>443909844</v>
      </c>
      <c r="I9" s="79"/>
      <c r="J9" s="79">
        <v>211397985.76999974</v>
      </c>
      <c r="K9" s="79"/>
      <c r="L9" s="79">
        <v>301182102.54000002</v>
      </c>
      <c r="M9" s="79"/>
      <c r="N9" s="79">
        <v>445664142</v>
      </c>
      <c r="O9" s="119">
        <v>3710785431</v>
      </c>
      <c r="P9" s="79"/>
      <c r="Q9" s="79">
        <v>4303205444</v>
      </c>
      <c r="R9" s="79"/>
      <c r="S9" s="79">
        <f>Q9-O9</f>
        <v>592420013</v>
      </c>
      <c r="T9" s="1216">
        <f>S9</f>
        <v>592420013</v>
      </c>
    </row>
    <row r="10" spans="1:20" s="84" customFormat="1">
      <c r="A10" s="77" t="s">
        <v>553</v>
      </c>
      <c r="B10" s="78"/>
      <c r="C10" s="119">
        <v>580622608</v>
      </c>
      <c r="D10" s="79"/>
      <c r="E10" s="79">
        <v>698127619</v>
      </c>
      <c r="F10" s="79"/>
      <c r="G10" s="79">
        <f t="shared" ref="G10:G46" si="0">E10-C10</f>
        <v>117505011</v>
      </c>
      <c r="H10" s="1237">
        <f>G10</f>
        <v>117505011</v>
      </c>
      <c r="I10" s="79"/>
      <c r="J10" s="79">
        <v>211397985.76999974</v>
      </c>
      <c r="K10" s="79"/>
      <c r="L10" s="79">
        <v>301182102.54000002</v>
      </c>
      <c r="M10" s="79"/>
      <c r="N10" s="79">
        <v>445664142</v>
      </c>
      <c r="O10" s="119">
        <v>1771673766</v>
      </c>
      <c r="P10" s="79"/>
      <c r="Q10" s="79">
        <v>1894344820</v>
      </c>
      <c r="R10" s="79"/>
      <c r="S10" s="79">
        <f t="shared" ref="S10:S46" si="1">Q10-O10</f>
        <v>122671054</v>
      </c>
      <c r="T10" s="1240">
        <f t="shared" ref="T10:T11" si="2">S10</f>
        <v>122671054</v>
      </c>
    </row>
    <row r="11" spans="1:20" s="84" customFormat="1">
      <c r="A11" s="77" t="s">
        <v>438</v>
      </c>
      <c r="B11" s="78"/>
      <c r="C11" s="119">
        <f>'BS (3)'!C11</f>
        <v>0</v>
      </c>
      <c r="D11" s="79"/>
      <c r="E11" s="79">
        <v>0</v>
      </c>
      <c r="F11" s="79"/>
      <c r="G11" s="79">
        <f t="shared" si="0"/>
        <v>0</v>
      </c>
      <c r="H11" s="1237">
        <f>G11</f>
        <v>0</v>
      </c>
      <c r="I11" s="79"/>
      <c r="J11" s="79">
        <v>211397985.76999974</v>
      </c>
      <c r="K11" s="79"/>
      <c r="L11" s="79">
        <v>301182102.54000002</v>
      </c>
      <c r="M11" s="79"/>
      <c r="N11" s="79">
        <v>445664142</v>
      </c>
      <c r="O11" s="119">
        <f>'BS (3)'!N11</f>
        <v>0</v>
      </c>
      <c r="P11" s="79"/>
      <c r="Q11" s="79">
        <v>0</v>
      </c>
      <c r="R11" s="79"/>
      <c r="S11" s="79">
        <f t="shared" si="1"/>
        <v>0</v>
      </c>
      <c r="T11" s="1240">
        <f t="shared" si="2"/>
        <v>0</v>
      </c>
    </row>
    <row r="12" spans="1:20">
      <c r="A12" s="77" t="s">
        <v>178</v>
      </c>
      <c r="B12" s="78"/>
      <c r="C12" s="119">
        <v>166539285</v>
      </c>
      <c r="D12" s="79"/>
      <c r="E12" s="79">
        <v>141637133</v>
      </c>
      <c r="F12" s="79"/>
      <c r="G12" s="79">
        <f t="shared" si="0"/>
        <v>-24902152</v>
      </c>
      <c r="H12" s="79"/>
      <c r="I12" s="79"/>
      <c r="J12" s="79">
        <v>211397985.76999974</v>
      </c>
      <c r="K12" s="79"/>
      <c r="L12" s="79">
        <v>301182102.54000002</v>
      </c>
      <c r="M12" s="79"/>
      <c r="N12" s="79">
        <v>445664142</v>
      </c>
      <c r="O12" s="119">
        <v>297145908</v>
      </c>
      <c r="P12" s="79"/>
      <c r="Q12" s="79">
        <v>237603467</v>
      </c>
      <c r="R12" s="79"/>
      <c r="S12" s="79">
        <f t="shared" si="1"/>
        <v>-59542441</v>
      </c>
    </row>
    <row r="13" spans="1:20">
      <c r="A13" s="77"/>
      <c r="B13" s="78"/>
      <c r="C13" s="119"/>
      <c r="D13" s="79"/>
      <c r="E13" s="79"/>
      <c r="F13" s="79"/>
      <c r="G13" s="79"/>
      <c r="H13" s="1232">
        <v>-5829700</v>
      </c>
      <c r="I13" s="79"/>
      <c r="J13" s="79"/>
      <c r="K13" s="79"/>
      <c r="L13" s="79"/>
      <c r="M13" s="79"/>
      <c r="N13" s="79"/>
      <c r="O13" s="119"/>
      <c r="P13" s="79"/>
      <c r="Q13" s="79"/>
      <c r="R13" s="79"/>
      <c r="S13" s="79"/>
      <c r="T13" s="1235">
        <v>-17110486</v>
      </c>
    </row>
    <row r="14" spans="1:20">
      <c r="A14" s="77"/>
      <c r="B14" s="78"/>
      <c r="C14" s="119"/>
      <c r="D14" s="79"/>
      <c r="E14" s="79"/>
      <c r="F14" s="79"/>
      <c r="G14" s="79"/>
      <c r="H14" s="1237">
        <f>G12-H13</f>
        <v>-19072452</v>
      </c>
      <c r="I14" s="79"/>
      <c r="J14" s="79"/>
      <c r="K14" s="79"/>
      <c r="L14" s="79"/>
      <c r="M14" s="79"/>
      <c r="N14" s="79"/>
      <c r="O14" s="119"/>
      <c r="P14" s="79"/>
      <c r="Q14" s="79"/>
      <c r="R14" s="79"/>
      <c r="S14" s="79"/>
      <c r="T14" s="1241">
        <f>S12-T13</f>
        <v>-42431955</v>
      </c>
    </row>
    <row r="15" spans="1:20">
      <c r="A15" s="77"/>
      <c r="B15" s="78"/>
      <c r="C15" s="119"/>
      <c r="D15" s="79"/>
      <c r="E15" s="79"/>
      <c r="F15" s="79"/>
      <c r="G15" s="79"/>
      <c r="H15" s="79"/>
      <c r="I15" s="79"/>
      <c r="J15" s="79"/>
      <c r="K15" s="79"/>
      <c r="L15" s="79"/>
      <c r="M15" s="79"/>
      <c r="N15" s="79"/>
      <c r="O15" s="119"/>
      <c r="P15" s="79"/>
      <c r="Q15" s="79"/>
      <c r="R15" s="79"/>
      <c r="S15" s="79"/>
    </row>
    <row r="16" spans="1:20">
      <c r="A16" s="77" t="s">
        <v>97</v>
      </c>
      <c r="B16" s="78"/>
      <c r="C16" s="119">
        <v>89846704036</v>
      </c>
      <c r="D16" s="79"/>
      <c r="E16" s="79">
        <v>88404480271</v>
      </c>
      <c r="F16" s="79"/>
      <c r="G16" s="79">
        <f t="shared" si="0"/>
        <v>-1442223765</v>
      </c>
      <c r="H16" s="79"/>
      <c r="I16" s="79"/>
      <c r="J16" s="79">
        <v>211397985.76999974</v>
      </c>
      <c r="K16" s="79"/>
      <c r="L16" s="79">
        <v>301182102.54000002</v>
      </c>
      <c r="M16" s="79"/>
      <c r="N16" s="79">
        <v>445664142</v>
      </c>
      <c r="O16" s="119">
        <v>89662599764</v>
      </c>
      <c r="P16" s="79"/>
      <c r="Q16" s="79">
        <v>88298471246</v>
      </c>
      <c r="R16" s="79"/>
      <c r="S16" s="79">
        <f t="shared" si="1"/>
        <v>-1364128518</v>
      </c>
    </row>
    <row r="17" spans="1:20">
      <c r="A17" s="77"/>
      <c r="B17" s="78"/>
      <c r="C17" s="119"/>
      <c r="D17" s="79"/>
      <c r="E17" s="79"/>
      <c r="F17" s="79"/>
      <c r="G17" s="79"/>
      <c r="H17" s="1232">
        <f>'P &amp; L (C &amp; G)'!E18</f>
        <v>0</v>
      </c>
      <c r="I17" s="79"/>
      <c r="J17" s="79"/>
      <c r="K17" s="79"/>
      <c r="L17" s="79"/>
      <c r="M17" s="79"/>
      <c r="N17" s="79"/>
      <c r="O17" s="119"/>
      <c r="P17" s="79"/>
      <c r="Q17" s="79"/>
      <c r="R17" s="79"/>
      <c r="S17" s="79"/>
      <c r="T17" s="1234">
        <f>'P &amp; L (C &amp; G)'!K18</f>
        <v>0</v>
      </c>
    </row>
    <row r="18" spans="1:20">
      <c r="A18" s="77"/>
      <c r="B18" s="78"/>
      <c r="C18" s="119"/>
      <c r="D18" s="79"/>
      <c r="E18" s="79"/>
      <c r="F18" s="79"/>
      <c r="G18" s="79"/>
      <c r="H18" s="1232"/>
      <c r="I18" s="79"/>
      <c r="J18" s="79"/>
      <c r="K18" s="79"/>
      <c r="L18" s="79"/>
      <c r="M18" s="79"/>
      <c r="N18" s="79"/>
      <c r="O18" s="119"/>
      <c r="P18" s="79"/>
      <c r="Q18" s="79"/>
      <c r="R18" s="79"/>
      <c r="S18" s="79"/>
      <c r="T18" s="1232"/>
    </row>
    <row r="19" spans="1:20">
      <c r="A19" s="77"/>
      <c r="B19" s="78"/>
      <c r="C19" s="119"/>
      <c r="D19" s="79"/>
      <c r="E19" s="79"/>
      <c r="F19" s="79"/>
      <c r="G19" s="79"/>
      <c r="H19" s="1237">
        <f>G16-H17-H18</f>
        <v>-1442223765</v>
      </c>
      <c r="I19" s="79"/>
      <c r="J19" s="79"/>
      <c r="K19" s="79"/>
      <c r="L19" s="79"/>
      <c r="M19" s="79"/>
      <c r="N19" s="79"/>
      <c r="O19" s="119"/>
      <c r="P19" s="79"/>
      <c r="Q19" s="79"/>
      <c r="R19" s="79"/>
      <c r="S19" s="79"/>
      <c r="T19" s="1237">
        <f>S16-T17-T18</f>
        <v>-1364128518</v>
      </c>
    </row>
    <row r="20" spans="1:20" s="75" customFormat="1">
      <c r="A20" s="77"/>
      <c r="B20" s="78"/>
      <c r="C20" s="79"/>
      <c r="D20" s="79"/>
      <c r="E20" s="79"/>
      <c r="F20" s="79"/>
      <c r="G20" s="79"/>
      <c r="H20" s="79"/>
      <c r="I20" s="79"/>
      <c r="J20" s="79"/>
      <c r="K20" s="79"/>
      <c r="L20" s="79"/>
      <c r="M20" s="79"/>
      <c r="N20" s="79"/>
      <c r="O20" s="79"/>
      <c r="P20" s="79"/>
      <c r="Q20" s="79"/>
      <c r="R20" s="79"/>
      <c r="S20" s="79"/>
      <c r="T20" s="79"/>
    </row>
    <row r="21" spans="1:20">
      <c r="A21" s="77" t="s">
        <v>439</v>
      </c>
      <c r="B21" s="78"/>
      <c r="C21" s="119">
        <f>'BS (3)'!C16</f>
        <v>0</v>
      </c>
      <c r="D21" s="79"/>
      <c r="E21" s="79">
        <f>'BS (3)'!E16</f>
        <v>0</v>
      </c>
      <c r="F21" s="79"/>
      <c r="G21" s="79">
        <f t="shared" si="0"/>
        <v>0</v>
      </c>
      <c r="H21" s="1237"/>
      <c r="I21" s="79"/>
      <c r="J21" s="79">
        <v>211397985.76999974</v>
      </c>
      <c r="K21" s="79"/>
      <c r="L21" s="79">
        <v>301182102.54000002</v>
      </c>
      <c r="M21" s="79"/>
      <c r="N21" s="79">
        <v>445664142</v>
      </c>
      <c r="O21" s="119">
        <v>147803758</v>
      </c>
      <c r="P21" s="79"/>
      <c r="Q21" s="79">
        <v>159162123</v>
      </c>
      <c r="R21" s="79"/>
      <c r="S21" s="79">
        <f t="shared" si="1"/>
        <v>11358365</v>
      </c>
      <c r="T21" s="1240">
        <f>S21</f>
        <v>11358365</v>
      </c>
    </row>
    <row r="22" spans="1:20">
      <c r="A22" s="77"/>
      <c r="B22" s="78"/>
      <c r="C22" s="119"/>
      <c r="D22" s="79"/>
      <c r="E22" s="79"/>
      <c r="F22" s="79"/>
      <c r="G22" s="79"/>
      <c r="H22" s="79"/>
      <c r="I22" s="79"/>
      <c r="J22" s="79"/>
      <c r="K22" s="79"/>
      <c r="L22" s="79"/>
      <c r="M22" s="79"/>
      <c r="N22" s="79"/>
      <c r="O22" s="119"/>
      <c r="P22" s="79"/>
      <c r="Q22" s="79"/>
      <c r="R22" s="79"/>
      <c r="S22" s="79"/>
    </row>
    <row r="23" spans="1:20">
      <c r="A23" s="77" t="s">
        <v>440</v>
      </c>
      <c r="B23" s="78"/>
      <c r="C23" s="119">
        <v>196353886</v>
      </c>
      <c r="D23" s="79"/>
      <c r="E23" s="79">
        <v>184179892</v>
      </c>
      <c r="F23" s="79"/>
      <c r="G23" s="79">
        <f t="shared" si="0"/>
        <v>-12173994</v>
      </c>
      <c r="H23" s="1194">
        <f>G23</f>
        <v>-12173994</v>
      </c>
      <c r="I23" s="79"/>
      <c r="J23" s="79">
        <v>211397985.76999974</v>
      </c>
      <c r="K23" s="79"/>
      <c r="L23" s="79">
        <v>301182102.54000002</v>
      </c>
      <c r="M23" s="79"/>
      <c r="N23" s="79">
        <v>445664142</v>
      </c>
      <c r="O23" s="119">
        <v>196353886</v>
      </c>
      <c r="P23" s="79"/>
      <c r="Q23" s="79">
        <v>1173867485</v>
      </c>
      <c r="R23" s="79"/>
      <c r="S23" s="79">
        <f t="shared" si="1"/>
        <v>977513599</v>
      </c>
      <c r="T23" s="1228">
        <f>-T102</f>
        <v>-1584062</v>
      </c>
    </row>
    <row r="24" spans="1:20" s="75" customFormat="1">
      <c r="A24" s="77"/>
      <c r="B24" s="78"/>
      <c r="C24" s="79"/>
      <c r="D24" s="79"/>
      <c r="E24" s="79"/>
      <c r="F24" s="79"/>
      <c r="G24" s="79"/>
      <c r="H24" s="1239">
        <v>0</v>
      </c>
      <c r="I24" s="79"/>
      <c r="J24" s="79"/>
      <c r="K24" s="79"/>
      <c r="L24" s="79"/>
      <c r="M24" s="79"/>
      <c r="N24" s="79"/>
      <c r="O24" s="79"/>
      <c r="P24" s="79"/>
      <c r="Q24" s="79"/>
      <c r="R24" s="79"/>
      <c r="S24" s="79"/>
      <c r="T24" s="1240">
        <f>S23-T23</f>
        <v>979097661</v>
      </c>
    </row>
    <row r="25" spans="1:20" s="75" customFormat="1">
      <c r="A25" s="77"/>
      <c r="B25" s="78"/>
      <c r="C25" s="79"/>
      <c r="D25" s="79"/>
      <c r="E25" s="79"/>
      <c r="F25" s="79"/>
      <c r="G25" s="79"/>
      <c r="H25" s="164"/>
      <c r="I25" s="79"/>
      <c r="J25" s="79"/>
      <c r="K25" s="79"/>
      <c r="L25" s="79"/>
      <c r="M25" s="79"/>
      <c r="N25" s="79"/>
      <c r="O25" s="79"/>
      <c r="P25" s="79"/>
      <c r="Q25" s="79"/>
      <c r="R25" s="79"/>
      <c r="S25" s="79"/>
      <c r="T25" s="278"/>
    </row>
    <row r="26" spans="1:20">
      <c r="A26" s="77" t="s">
        <v>441</v>
      </c>
      <c r="B26" s="78"/>
      <c r="C26" s="119">
        <v>652345803</v>
      </c>
      <c r="D26" s="79"/>
      <c r="E26" s="79">
        <v>539765951</v>
      </c>
      <c r="F26" s="79"/>
      <c r="G26" s="79">
        <f t="shared" si="0"/>
        <v>-112579852</v>
      </c>
      <c r="H26" s="1237">
        <f>G26</f>
        <v>-112579852</v>
      </c>
      <c r="I26" s="79"/>
      <c r="J26" s="79">
        <v>211397985.76999974</v>
      </c>
      <c r="K26" s="79"/>
      <c r="L26" s="79">
        <v>301182102.54000002</v>
      </c>
      <c r="M26" s="79"/>
      <c r="N26" s="79">
        <v>445664142</v>
      </c>
      <c r="O26" s="119">
        <v>1884923518</v>
      </c>
      <c r="P26" s="79"/>
      <c r="Q26" s="79">
        <v>539765951</v>
      </c>
      <c r="R26" s="79"/>
      <c r="S26" s="79">
        <f t="shared" si="1"/>
        <v>-1345157567</v>
      </c>
      <c r="T26" s="1240">
        <f>S26</f>
        <v>-1345157567</v>
      </c>
    </row>
    <row r="27" spans="1:20" s="75" customFormat="1">
      <c r="A27" s="77" t="s">
        <v>98</v>
      </c>
      <c r="B27" s="78"/>
      <c r="C27" s="119">
        <f>'BS (3)'!C19</f>
        <v>1875000000</v>
      </c>
      <c r="D27" s="79"/>
      <c r="E27" s="79">
        <f>'BS (3)'!E19</f>
        <v>1475000000</v>
      </c>
      <c r="F27" s="79"/>
      <c r="G27" s="79">
        <f t="shared" si="0"/>
        <v>-400000000</v>
      </c>
      <c r="H27" s="79"/>
      <c r="I27" s="79"/>
      <c r="J27" s="79">
        <v>211397985.76999974</v>
      </c>
      <c r="K27" s="79"/>
      <c r="L27" s="79">
        <v>301182102.54000002</v>
      </c>
      <c r="M27" s="79"/>
      <c r="N27" s="79">
        <v>445664142</v>
      </c>
      <c r="O27" s="119">
        <f>'BS (3)'!N19</f>
        <v>0</v>
      </c>
      <c r="P27" s="79"/>
      <c r="Q27" s="79">
        <f>'BS (3)'!P19</f>
        <v>0</v>
      </c>
      <c r="R27" s="79"/>
      <c r="S27" s="79">
        <f t="shared" si="1"/>
        <v>0</v>
      </c>
      <c r="T27" s="278"/>
    </row>
    <row r="28" spans="1:20">
      <c r="A28" s="77" t="s">
        <v>99</v>
      </c>
      <c r="B28" s="78"/>
      <c r="C28" s="119">
        <f>'BS (3)'!C20</f>
        <v>0</v>
      </c>
      <c r="D28" s="79"/>
      <c r="E28" s="79">
        <f>'BS (3)'!E20</f>
        <v>0</v>
      </c>
      <c r="F28" s="79"/>
      <c r="G28" s="79">
        <f t="shared" si="0"/>
        <v>0</v>
      </c>
      <c r="H28" s="79"/>
      <c r="I28" s="79"/>
      <c r="J28" s="79">
        <v>211397985.76999974</v>
      </c>
      <c r="K28" s="79"/>
      <c r="L28" s="79">
        <v>301182102.54000002</v>
      </c>
      <c r="M28" s="79"/>
      <c r="N28" s="79">
        <v>445664142</v>
      </c>
      <c r="O28" s="119">
        <f>'BS (3)'!N20</f>
        <v>0</v>
      </c>
      <c r="P28" s="79"/>
      <c r="Q28" s="79">
        <f>'BS (3)'!P20</f>
        <v>0</v>
      </c>
      <c r="R28" s="79"/>
      <c r="S28" s="79">
        <f t="shared" si="1"/>
        <v>0</v>
      </c>
    </row>
    <row r="29" spans="1:20">
      <c r="A29" s="77" t="s">
        <v>100</v>
      </c>
      <c r="B29" s="78"/>
      <c r="C29" s="119">
        <v>352132880</v>
      </c>
      <c r="D29" s="79"/>
      <c r="E29" s="79">
        <v>343847865</v>
      </c>
      <c r="F29" s="79"/>
      <c r="G29" s="79">
        <f t="shared" si="0"/>
        <v>-8285015</v>
      </c>
      <c r="H29" s="79"/>
      <c r="I29" s="79"/>
      <c r="J29" s="79">
        <v>211397985.76999974</v>
      </c>
      <c r="K29" s="79"/>
      <c r="L29" s="79">
        <v>301182102.54000002</v>
      </c>
      <c r="M29" s="79"/>
      <c r="N29" s="79">
        <v>445664142</v>
      </c>
      <c r="O29" s="119">
        <v>363972732</v>
      </c>
      <c r="P29" s="79"/>
      <c r="Q29" s="79">
        <v>358281781</v>
      </c>
      <c r="R29" s="79"/>
      <c r="S29" s="79">
        <f t="shared" si="1"/>
        <v>-5690951</v>
      </c>
    </row>
    <row r="30" spans="1:20">
      <c r="A30" s="77"/>
      <c r="B30" s="78"/>
      <c r="C30" s="119"/>
      <c r="D30" s="79"/>
      <c r="E30" s="79"/>
      <c r="F30" s="79"/>
      <c r="G30" s="79"/>
      <c r="H30" s="1232">
        <f>'P &amp; L (C &amp; G)'!E26</f>
        <v>6945660</v>
      </c>
      <c r="I30" s="79"/>
      <c r="J30" s="79"/>
      <c r="K30" s="79"/>
      <c r="L30" s="79"/>
      <c r="M30" s="79"/>
      <c r="N30" s="79"/>
      <c r="O30" s="119"/>
      <c r="P30" s="79"/>
      <c r="Q30" s="79"/>
      <c r="R30" s="79"/>
      <c r="S30" s="79"/>
      <c r="T30" s="1234">
        <f>'P &amp; L (C &amp; G)'!K26</f>
        <v>12568648</v>
      </c>
    </row>
    <row r="31" spans="1:20">
      <c r="A31" s="77"/>
      <c r="B31" s="78"/>
      <c r="C31" s="119"/>
      <c r="D31" s="79"/>
      <c r="E31" s="79"/>
      <c r="F31" s="79"/>
      <c r="G31" s="79"/>
      <c r="H31" s="1189"/>
      <c r="I31" s="79"/>
      <c r="J31" s="79"/>
      <c r="K31" s="79"/>
      <c r="L31" s="79"/>
      <c r="M31" s="79"/>
      <c r="N31" s="79"/>
      <c r="O31" s="119"/>
      <c r="P31" s="79"/>
      <c r="Q31" s="79"/>
      <c r="R31" s="79"/>
      <c r="S31" s="79"/>
      <c r="T31" s="1189"/>
    </row>
    <row r="32" spans="1:20">
      <c r="A32" s="77"/>
      <c r="B32" s="78"/>
      <c r="C32" s="119"/>
      <c r="D32" s="79"/>
      <c r="E32" s="79"/>
      <c r="F32" s="79"/>
      <c r="G32" s="79"/>
      <c r="H32" s="1248">
        <v>-12000000</v>
      </c>
      <c r="I32" s="79"/>
      <c r="J32" s="79"/>
      <c r="K32" s="79"/>
      <c r="L32" s="79"/>
      <c r="M32" s="79"/>
      <c r="N32" s="79"/>
      <c r="O32" s="119"/>
      <c r="P32" s="79"/>
      <c r="Q32" s="79"/>
      <c r="R32" s="79"/>
      <c r="S32" s="79"/>
      <c r="T32" s="1221">
        <v>-12000000</v>
      </c>
    </row>
    <row r="33" spans="1:28">
      <c r="A33" s="77"/>
      <c r="B33" s="78"/>
      <c r="C33" s="119"/>
      <c r="D33" s="79"/>
      <c r="E33" s="79"/>
      <c r="F33" s="79"/>
      <c r="G33" s="79"/>
      <c r="H33" s="1191"/>
      <c r="I33" s="79"/>
      <c r="J33" s="79"/>
      <c r="K33" s="79"/>
      <c r="L33" s="79"/>
      <c r="M33" s="79"/>
      <c r="N33" s="79"/>
      <c r="O33" s="119"/>
      <c r="P33" s="79"/>
      <c r="Q33" s="79"/>
      <c r="R33" s="79"/>
      <c r="S33" s="79"/>
      <c r="T33" s="1191"/>
    </row>
    <row r="34" spans="1:28">
      <c r="A34" s="77"/>
      <c r="B34" s="78"/>
      <c r="C34" s="119"/>
      <c r="D34" s="79"/>
      <c r="E34" s="79"/>
      <c r="F34" s="79"/>
      <c r="G34" s="79"/>
      <c r="H34" s="1249">
        <f>G29-H30-H31-H32-H33</f>
        <v>-3230675</v>
      </c>
      <c r="I34" s="79"/>
      <c r="J34" s="79"/>
      <c r="K34" s="79"/>
      <c r="L34" s="79"/>
      <c r="M34" s="79"/>
      <c r="N34" s="79"/>
      <c r="O34" s="119"/>
      <c r="P34" s="79"/>
      <c r="Q34" s="79"/>
      <c r="R34" s="79"/>
      <c r="S34" s="79"/>
      <c r="T34" s="79">
        <f>S29-T30-T31-T32-T33</f>
        <v>-6259599</v>
      </c>
    </row>
    <row r="35" spans="1:28">
      <c r="A35" s="77"/>
      <c r="B35" s="78"/>
      <c r="C35" s="119"/>
      <c r="D35" s="79"/>
      <c r="E35" s="79"/>
      <c r="F35" s="79"/>
      <c r="G35" s="79"/>
      <c r="H35" s="79"/>
      <c r="I35" s="79"/>
      <c r="J35" s="79"/>
      <c r="K35" s="79"/>
      <c r="L35" s="79"/>
      <c r="M35" s="79"/>
      <c r="N35" s="79"/>
      <c r="O35" s="119"/>
      <c r="P35" s="79"/>
      <c r="Q35" s="79"/>
      <c r="R35" s="79"/>
      <c r="S35" s="79"/>
    </row>
    <row r="36" spans="1:28">
      <c r="A36" s="77" t="s">
        <v>101</v>
      </c>
      <c r="B36" s="78"/>
      <c r="C36" s="119">
        <v>731947351</v>
      </c>
      <c r="D36" s="79"/>
      <c r="E36" s="79">
        <v>690534695</v>
      </c>
      <c r="F36" s="79"/>
      <c r="G36" s="79">
        <f t="shared" si="0"/>
        <v>-41412656</v>
      </c>
      <c r="H36" s="79"/>
      <c r="I36" s="79"/>
      <c r="J36" s="79">
        <v>211397985.76999974</v>
      </c>
      <c r="K36" s="79"/>
      <c r="L36" s="79">
        <v>301182102.54000002</v>
      </c>
      <c r="M36" s="79"/>
      <c r="N36" s="79">
        <v>445664142</v>
      </c>
      <c r="O36" s="119">
        <v>2695288855</v>
      </c>
      <c r="P36" s="79"/>
      <c r="Q36" s="79">
        <v>2641132617</v>
      </c>
      <c r="R36" s="79"/>
      <c r="S36" s="79">
        <f t="shared" si="1"/>
        <v>-54156238</v>
      </c>
      <c r="V36" s="75" t="s">
        <v>213</v>
      </c>
      <c r="W36" s="276">
        <v>0</v>
      </c>
      <c r="Y36" s="76" t="s">
        <v>583</v>
      </c>
      <c r="Z36" s="83">
        <v>14953921</v>
      </c>
      <c r="AA36" s="83">
        <v>-5132867.3</v>
      </c>
      <c r="AB36" s="76" t="s">
        <v>585</v>
      </c>
    </row>
    <row r="37" spans="1:28">
      <c r="A37" s="77"/>
      <c r="B37" s="78"/>
      <c r="C37" s="119"/>
      <c r="D37" s="79"/>
      <c r="E37" s="79"/>
      <c r="F37" s="79"/>
      <c r="G37" s="79"/>
      <c r="H37" s="1232">
        <f>'P &amp; L (C &amp; G)'!E25</f>
        <v>94724006</v>
      </c>
      <c r="I37" s="79"/>
      <c r="J37" s="79"/>
      <c r="K37" s="79"/>
      <c r="L37" s="79"/>
      <c r="M37" s="79"/>
      <c r="N37" s="79"/>
      <c r="O37" s="119"/>
      <c r="P37" s="79"/>
      <c r="Q37" s="79"/>
      <c r="R37" s="79"/>
      <c r="S37" s="79"/>
      <c r="T37" s="1234">
        <f>'P &amp; L (C &amp; G)'!K25</f>
        <v>127170553</v>
      </c>
      <c r="V37" s="76" t="s">
        <v>328</v>
      </c>
      <c r="W37" s="276"/>
      <c r="Y37" s="76" t="s">
        <v>584</v>
      </c>
      <c r="Z37" s="83">
        <v>-14876967</v>
      </c>
      <c r="AA37" s="83">
        <f>AA38-AA36</f>
        <v>5209821.3</v>
      </c>
      <c r="AB37" s="76" t="s">
        <v>586</v>
      </c>
    </row>
    <row r="38" spans="1:28" ht="16.5" thickBot="1">
      <c r="A38" s="77"/>
      <c r="B38" s="78"/>
      <c r="C38" s="119"/>
      <c r="D38" s="79"/>
      <c r="E38" s="79"/>
      <c r="F38" s="79"/>
      <c r="G38" s="79"/>
      <c r="H38" s="1232">
        <v>4553.97</v>
      </c>
      <c r="I38" s="79"/>
      <c r="J38" s="79"/>
      <c r="K38" s="79"/>
      <c r="L38" s="79"/>
      <c r="M38" s="79"/>
      <c r="N38" s="79"/>
      <c r="O38" s="119"/>
      <c r="P38" s="79"/>
      <c r="Q38" s="79"/>
      <c r="R38" s="79"/>
      <c r="S38" s="79"/>
      <c r="T38" s="1232">
        <f>H38</f>
        <v>4553.97</v>
      </c>
      <c r="V38" s="76" t="s">
        <v>211</v>
      </c>
      <c r="W38" s="276">
        <f>H39</f>
        <v>-88000000</v>
      </c>
      <c r="Z38" s="1225">
        <f>SUM(Z36:Z37)</f>
        <v>76954</v>
      </c>
      <c r="AA38" s="1225">
        <f>Z38</f>
        <v>76954</v>
      </c>
    </row>
    <row r="39" spans="1:28">
      <c r="A39" s="77"/>
      <c r="B39" s="78"/>
      <c r="C39" s="119"/>
      <c r="D39" s="79"/>
      <c r="E39" s="79"/>
      <c r="F39" s="79"/>
      <c r="G39" s="79"/>
      <c r="H39" s="1248">
        <v>-88000000</v>
      </c>
      <c r="I39" s="79"/>
      <c r="J39" s="79"/>
      <c r="K39" s="79"/>
      <c r="L39" s="79"/>
      <c r="M39" s="79"/>
      <c r="N39" s="79"/>
      <c r="O39" s="119"/>
      <c r="P39" s="79"/>
      <c r="Q39" s="79"/>
      <c r="R39" s="79"/>
      <c r="S39" s="79"/>
      <c r="T39" s="1221">
        <f>W43</f>
        <v>-88000000</v>
      </c>
      <c r="V39" s="76" t="s">
        <v>214</v>
      </c>
      <c r="W39" s="276"/>
    </row>
    <row r="40" spans="1:28">
      <c r="A40" s="77"/>
      <c r="B40" s="78"/>
      <c r="C40" s="119"/>
      <c r="D40" s="79"/>
      <c r="E40" s="79"/>
      <c r="F40" s="79"/>
      <c r="G40" s="79"/>
      <c r="H40" s="1191">
        <v>13000000</v>
      </c>
      <c r="I40" s="79"/>
      <c r="J40" s="79"/>
      <c r="K40" s="79"/>
      <c r="L40" s="79"/>
      <c r="M40" s="79"/>
      <c r="N40" s="79"/>
      <c r="O40" s="119"/>
      <c r="P40" s="79"/>
      <c r="Q40" s="79"/>
      <c r="R40" s="79"/>
      <c r="S40" s="79"/>
      <c r="T40" s="1191">
        <f>H40</f>
        <v>13000000</v>
      </c>
      <c r="V40" s="76" t="s">
        <v>580</v>
      </c>
      <c r="W40" s="276"/>
    </row>
    <row r="41" spans="1:28">
      <c r="A41" s="77"/>
      <c r="B41" s="78"/>
      <c r="C41" s="119"/>
      <c r="D41" s="79"/>
      <c r="E41" s="79"/>
      <c r="F41" s="79"/>
      <c r="G41" s="79"/>
      <c r="H41" s="1191"/>
      <c r="I41" s="79"/>
      <c r="J41" s="79"/>
      <c r="K41" s="79"/>
      <c r="L41" s="79"/>
      <c r="M41" s="79"/>
      <c r="N41" s="79"/>
      <c r="O41" s="119"/>
      <c r="P41" s="79"/>
      <c r="Q41" s="79"/>
      <c r="R41" s="79"/>
      <c r="S41" s="79"/>
      <c r="T41" s="1191">
        <f>H41</f>
        <v>0</v>
      </c>
      <c r="V41" s="76" t="s">
        <v>212</v>
      </c>
      <c r="W41" s="276"/>
    </row>
    <row r="42" spans="1:28">
      <c r="A42" s="77"/>
      <c r="B42" s="78"/>
      <c r="C42" s="119"/>
      <c r="D42" s="79"/>
      <c r="E42" s="79"/>
      <c r="F42" s="79"/>
      <c r="G42" s="79"/>
      <c r="H42" s="1188">
        <f>H40+H41-H38</f>
        <v>12995446.029999999</v>
      </c>
      <c r="I42" s="79"/>
      <c r="J42" s="79"/>
      <c r="K42" s="79"/>
      <c r="L42" s="79"/>
      <c r="M42" s="79"/>
      <c r="N42" s="79"/>
      <c r="O42" s="119"/>
      <c r="P42" s="79"/>
      <c r="Q42" s="79"/>
      <c r="R42" s="79"/>
      <c r="S42" s="79"/>
      <c r="T42" s="1191">
        <f>T40+T41-T38</f>
        <v>12995446.029999999</v>
      </c>
      <c r="V42" s="76" t="s">
        <v>587</v>
      </c>
      <c r="W42" s="276"/>
      <c r="X42" s="1227"/>
    </row>
    <row r="43" spans="1:28" ht="16.5" thickBot="1">
      <c r="A43" s="77"/>
      <c r="B43" s="78"/>
      <c r="C43" s="119"/>
      <c r="D43" s="79"/>
      <c r="E43" s="79"/>
      <c r="F43" s="79"/>
      <c r="G43" s="79"/>
      <c r="H43" s="1249">
        <f>G36-H37-H38-H39-H40-H41-H42</f>
        <v>-74136662</v>
      </c>
      <c r="I43" s="79"/>
      <c r="J43" s="79"/>
      <c r="K43" s="79"/>
      <c r="L43" s="79"/>
      <c r="M43" s="79"/>
      <c r="N43" s="79"/>
      <c r="O43" s="119"/>
      <c r="P43" s="79"/>
      <c r="Q43" s="79"/>
      <c r="R43" s="79"/>
      <c r="S43" s="79"/>
      <c r="T43" s="85">
        <f>S36-T37-T38-T39-T40-T41-T42</f>
        <v>-119326791</v>
      </c>
      <c r="U43" s="1227"/>
      <c r="W43" s="1222">
        <f>SUM(W36:W42)</f>
        <v>-88000000</v>
      </c>
    </row>
    <row r="44" spans="1:28" ht="16.5" thickTop="1">
      <c r="A44" s="77"/>
      <c r="B44" s="78"/>
      <c r="C44" s="119"/>
      <c r="D44" s="79"/>
      <c r="E44" s="79"/>
      <c r="F44" s="79"/>
      <c r="G44" s="79"/>
      <c r="H44" s="79"/>
      <c r="I44" s="79"/>
      <c r="J44" s="79"/>
      <c r="K44" s="79"/>
      <c r="L44" s="79"/>
      <c r="M44" s="79"/>
      <c r="N44" s="79"/>
      <c r="O44" s="119"/>
      <c r="P44" s="79"/>
      <c r="Q44" s="79"/>
      <c r="R44" s="79"/>
      <c r="S44" s="79"/>
      <c r="X44" s="1227"/>
    </row>
    <row r="45" spans="1:28">
      <c r="A45" s="77" t="s">
        <v>179</v>
      </c>
      <c r="B45" s="78"/>
      <c r="C45" s="119">
        <v>56000000</v>
      </c>
      <c r="D45" s="79"/>
      <c r="E45" s="79">
        <v>56000000</v>
      </c>
      <c r="F45" s="79"/>
      <c r="G45" s="79">
        <f t="shared" si="0"/>
        <v>0</v>
      </c>
      <c r="H45" s="79"/>
      <c r="I45" s="79"/>
      <c r="J45" s="79">
        <v>211397985.76999974</v>
      </c>
      <c r="K45" s="79"/>
      <c r="L45" s="79">
        <v>301182102.54000002</v>
      </c>
      <c r="M45" s="79"/>
      <c r="N45" s="79">
        <v>445664142</v>
      </c>
      <c r="O45" s="119">
        <f>'BS (3)'!N23</f>
        <v>0</v>
      </c>
      <c r="P45" s="79"/>
      <c r="Q45" s="79">
        <f>'BS (3)'!P23</f>
        <v>0</v>
      </c>
      <c r="R45" s="79"/>
      <c r="S45" s="79">
        <f t="shared" si="1"/>
        <v>0</v>
      </c>
      <c r="U45" s="1227"/>
    </row>
    <row r="46" spans="1:28" s="88" customFormat="1">
      <c r="A46" s="77" t="s">
        <v>102</v>
      </c>
      <c r="B46" s="78"/>
      <c r="C46" s="119">
        <v>851402418</v>
      </c>
      <c r="D46" s="79"/>
      <c r="E46" s="79">
        <v>896394579</v>
      </c>
      <c r="F46" s="79"/>
      <c r="G46" s="79">
        <f t="shared" si="0"/>
        <v>44992161</v>
      </c>
      <c r="H46" s="1237">
        <f>G46</f>
        <v>44992161</v>
      </c>
      <c r="I46" s="79"/>
      <c r="J46" s="79">
        <v>211397985.76999974</v>
      </c>
      <c r="K46" s="79"/>
      <c r="L46" s="79">
        <v>301182102.54000002</v>
      </c>
      <c r="M46" s="79"/>
      <c r="N46" s="79">
        <v>445664142</v>
      </c>
      <c r="O46" s="119">
        <v>1484912140</v>
      </c>
      <c r="P46" s="79"/>
      <c r="Q46" s="79">
        <v>1538626333</v>
      </c>
      <c r="R46" s="79"/>
      <c r="S46" s="79">
        <f t="shared" si="1"/>
        <v>53714193</v>
      </c>
      <c r="T46" s="1240">
        <f>S46</f>
        <v>53714193</v>
      </c>
    </row>
    <row r="47" spans="1:28" s="91" customFormat="1" ht="16.5" thickBot="1">
      <c r="A47" s="80"/>
      <c r="B47" s="89"/>
      <c r="C47" s="126"/>
      <c r="D47" s="90"/>
      <c r="E47" s="127"/>
      <c r="F47" s="90"/>
      <c r="G47" s="79"/>
      <c r="H47" s="79"/>
      <c r="I47" s="90"/>
      <c r="J47" s="127"/>
      <c r="K47" s="90"/>
      <c r="L47" s="90"/>
      <c r="M47" s="90"/>
      <c r="N47" s="90"/>
      <c r="O47" s="126"/>
      <c r="P47" s="90"/>
      <c r="Q47" s="127"/>
      <c r="R47" s="90"/>
      <c r="S47" s="79"/>
      <c r="T47" s="277"/>
    </row>
    <row r="48" spans="1:28" ht="16.5" thickTop="1">
      <c r="A48" s="77"/>
      <c r="B48" s="78"/>
      <c r="C48" s="119"/>
      <c r="D48" s="79"/>
      <c r="E48" s="79"/>
      <c r="F48" s="79"/>
      <c r="G48" s="79"/>
      <c r="H48" s="79"/>
      <c r="I48" s="79"/>
      <c r="J48" s="79"/>
      <c r="K48" s="79"/>
      <c r="L48" s="79"/>
      <c r="M48" s="79"/>
      <c r="N48" s="79">
        <v>0</v>
      </c>
      <c r="O48" s="119"/>
      <c r="P48" s="79"/>
      <c r="Q48" s="79"/>
      <c r="R48" s="79"/>
      <c r="S48" s="79"/>
    </row>
    <row r="49" spans="1:20" s="91" customFormat="1">
      <c r="A49" s="80" t="s">
        <v>104</v>
      </c>
      <c r="B49" s="89"/>
      <c r="C49" s="121"/>
      <c r="D49" s="90"/>
      <c r="E49" s="90"/>
      <c r="F49" s="90"/>
      <c r="G49" s="79"/>
      <c r="H49" s="79"/>
      <c r="I49" s="90"/>
      <c r="J49" s="90"/>
      <c r="K49" s="90"/>
      <c r="L49" s="90"/>
      <c r="M49" s="90"/>
      <c r="N49" s="90">
        <v>0</v>
      </c>
      <c r="O49" s="121"/>
      <c r="P49" s="90"/>
      <c r="Q49" s="90"/>
      <c r="R49" s="90"/>
      <c r="S49" s="79"/>
      <c r="T49" s="277"/>
    </row>
    <row r="50" spans="1:20" s="75" customFormat="1">
      <c r="A50" s="92" t="s">
        <v>442</v>
      </c>
      <c r="B50" s="78"/>
      <c r="C50" s="119">
        <f>-14505337869-C54</f>
        <v>-13765638513</v>
      </c>
      <c r="D50" s="79"/>
      <c r="E50" s="79">
        <f>-15801608906-E54</f>
        <v>-14972999602</v>
      </c>
      <c r="F50" s="79"/>
      <c r="G50" s="79">
        <f t="shared" ref="G50" si="3">E50-C50</f>
        <v>-1207361089</v>
      </c>
      <c r="H50" s="79"/>
      <c r="I50" s="79"/>
      <c r="J50" s="79">
        <v>211397985.76999974</v>
      </c>
      <c r="K50" s="79"/>
      <c r="L50" s="79">
        <v>301182102.54000002</v>
      </c>
      <c r="M50" s="79"/>
      <c r="N50" s="79">
        <v>445664142</v>
      </c>
      <c r="O50" s="119">
        <f>-15927754052-O54</f>
        <v>-15059392370</v>
      </c>
      <c r="P50" s="79"/>
      <c r="Q50" s="79">
        <f>-17214886234-Q54</f>
        <v>-16254099468</v>
      </c>
      <c r="R50" s="79"/>
      <c r="S50" s="79">
        <f t="shared" ref="S50" si="4">Q50-O50</f>
        <v>-1194707098</v>
      </c>
      <c r="T50" s="278"/>
    </row>
    <row r="51" spans="1:20" s="75" customFormat="1">
      <c r="A51" s="92"/>
      <c r="B51" s="78"/>
      <c r="C51" s="119"/>
      <c r="D51" s="79"/>
      <c r="E51" s="79"/>
      <c r="F51" s="79"/>
      <c r="G51" s="79"/>
      <c r="H51" s="1188">
        <v>-50000000</v>
      </c>
      <c r="I51" s="79"/>
      <c r="J51" s="79"/>
      <c r="K51" s="79"/>
      <c r="L51" s="79"/>
      <c r="M51" s="79"/>
      <c r="N51" s="79"/>
      <c r="O51" s="119"/>
      <c r="P51" s="79"/>
      <c r="Q51" s="79"/>
      <c r="R51" s="79"/>
      <c r="S51" s="79"/>
      <c r="T51" s="1188">
        <v>-50000000</v>
      </c>
    </row>
    <row r="52" spans="1:20" s="75" customFormat="1">
      <c r="A52" s="92"/>
      <c r="B52" s="78"/>
      <c r="C52" s="119"/>
      <c r="D52" s="79"/>
      <c r="E52" s="79"/>
      <c r="F52" s="79"/>
      <c r="G52" s="79"/>
      <c r="H52" s="1243">
        <f>G50-H51</f>
        <v>-1157361089</v>
      </c>
      <c r="I52" s="79"/>
      <c r="J52" s="79"/>
      <c r="K52" s="79"/>
      <c r="L52" s="79"/>
      <c r="M52" s="79"/>
      <c r="N52" s="79"/>
      <c r="O52" s="119"/>
      <c r="P52" s="79"/>
      <c r="Q52" s="79"/>
      <c r="R52" s="79"/>
      <c r="S52" s="79"/>
      <c r="T52" s="1243">
        <f>S50-T51</f>
        <v>-1144707098</v>
      </c>
    </row>
    <row r="53" spans="1:20" s="75" customFormat="1">
      <c r="A53" s="92"/>
      <c r="B53" s="78"/>
      <c r="C53" s="119"/>
      <c r="D53" s="79"/>
      <c r="E53" s="79"/>
      <c r="F53" s="79"/>
      <c r="G53" s="79"/>
      <c r="H53" s="79"/>
      <c r="I53" s="79"/>
      <c r="J53" s="79"/>
      <c r="K53" s="79"/>
      <c r="L53" s="79"/>
      <c r="M53" s="79"/>
      <c r="N53" s="79"/>
      <c r="O53" s="119"/>
      <c r="P53" s="79"/>
      <c r="Q53" s="79"/>
      <c r="R53" s="79"/>
      <c r="S53" s="79"/>
      <c r="T53" s="278"/>
    </row>
    <row r="54" spans="1:20" s="75" customFormat="1">
      <c r="A54" s="92" t="s">
        <v>190</v>
      </c>
      <c r="B54" s="78"/>
      <c r="C54" s="119">
        <v>-739699356</v>
      </c>
      <c r="D54" s="79"/>
      <c r="E54" s="79">
        <v>-828609304</v>
      </c>
      <c r="F54" s="79"/>
      <c r="G54" s="79">
        <f t="shared" ref="G54" si="5">E54-C54</f>
        <v>-88909948</v>
      </c>
      <c r="H54" s="79">
        <f>G54</f>
        <v>-88909948</v>
      </c>
      <c r="I54" s="79"/>
      <c r="J54" s="79"/>
      <c r="K54" s="79"/>
      <c r="L54" s="79"/>
      <c r="M54" s="79"/>
      <c r="N54" s="79"/>
      <c r="O54" s="119">
        <v>-868361682</v>
      </c>
      <c r="P54" s="79"/>
      <c r="Q54" s="79">
        <v>-960786766</v>
      </c>
      <c r="R54" s="79"/>
      <c r="S54" s="79">
        <f t="shared" ref="S54" si="6">Q54-O54</f>
        <v>-92425084</v>
      </c>
      <c r="T54" s="79">
        <f>S54</f>
        <v>-92425084</v>
      </c>
    </row>
    <row r="55" spans="1:20" s="75" customFormat="1">
      <c r="A55" s="92"/>
      <c r="B55" s="78"/>
      <c r="C55" s="119"/>
      <c r="D55" s="79"/>
      <c r="E55" s="79"/>
      <c r="F55" s="79"/>
      <c r="G55" s="79"/>
      <c r="H55" s="79"/>
      <c r="I55" s="79"/>
      <c r="J55" s="79"/>
      <c r="K55" s="79"/>
      <c r="L55" s="79"/>
      <c r="M55" s="79"/>
      <c r="N55" s="79"/>
      <c r="O55" s="119"/>
      <c r="P55" s="79"/>
      <c r="Q55" s="79"/>
      <c r="R55" s="79"/>
      <c r="S55" s="79"/>
      <c r="T55" s="278"/>
    </row>
    <row r="56" spans="1:20" s="75" customFormat="1">
      <c r="A56" s="92" t="s">
        <v>443</v>
      </c>
      <c r="B56" s="78"/>
      <c r="C56" s="119">
        <v>-24240205388</v>
      </c>
      <c r="D56" s="79"/>
      <c r="E56" s="79">
        <v>-18846671750</v>
      </c>
      <c r="F56" s="79"/>
      <c r="G56" s="79">
        <f t="shared" ref="G56:G77" si="7">E56-C56</f>
        <v>5393533638</v>
      </c>
      <c r="H56" s="1243">
        <f>G56</f>
        <v>5393533638</v>
      </c>
      <c r="I56" s="79"/>
      <c r="J56" s="79">
        <v>211397985.76999974</v>
      </c>
      <c r="K56" s="79"/>
      <c r="L56" s="79">
        <v>301182102.54000002</v>
      </c>
      <c r="M56" s="79"/>
      <c r="N56" s="79">
        <v>445664142</v>
      </c>
      <c r="O56" s="119">
        <v>-24174267673</v>
      </c>
      <c r="P56" s="79"/>
      <c r="Q56" s="79">
        <v>-18709869091</v>
      </c>
      <c r="R56" s="79"/>
      <c r="S56" s="79">
        <f t="shared" ref="S56:S77" si="8">Q56-O56</f>
        <v>5464398582</v>
      </c>
      <c r="T56" s="1243">
        <f>S56</f>
        <v>5464398582</v>
      </c>
    </row>
    <row r="57" spans="1:20" s="75" customFormat="1">
      <c r="A57" s="92" t="s">
        <v>444</v>
      </c>
      <c r="B57" s="78"/>
      <c r="C57" s="119">
        <v>-36287801254</v>
      </c>
      <c r="D57" s="79"/>
      <c r="E57" s="79">
        <v>-40430615187</v>
      </c>
      <c r="F57" s="79"/>
      <c r="G57" s="79">
        <f t="shared" si="7"/>
        <v>-4142813933</v>
      </c>
      <c r="H57" s="1243">
        <f>G57</f>
        <v>-4142813933</v>
      </c>
      <c r="I57" s="79"/>
      <c r="J57" s="79">
        <v>211397985.76999974</v>
      </c>
      <c r="K57" s="79"/>
      <c r="L57" s="79">
        <v>301182102.54000002</v>
      </c>
      <c r="M57" s="79"/>
      <c r="N57" s="79">
        <v>445664142</v>
      </c>
      <c r="O57" s="119">
        <v>-36182596837</v>
      </c>
      <c r="P57" s="79"/>
      <c r="Q57" s="79">
        <v>-40330615187</v>
      </c>
      <c r="R57" s="79"/>
      <c r="S57" s="79">
        <f t="shared" si="8"/>
        <v>-4148018350</v>
      </c>
      <c r="T57" s="1243">
        <f>S57</f>
        <v>-4148018350</v>
      </c>
    </row>
    <row r="58" spans="1:20" s="75" customFormat="1">
      <c r="A58" s="92"/>
      <c r="B58" s="78"/>
      <c r="C58" s="119"/>
      <c r="D58" s="79"/>
      <c r="E58" s="79"/>
      <c r="F58" s="79"/>
      <c r="G58" s="79"/>
      <c r="H58" s="79"/>
      <c r="I58" s="79"/>
      <c r="J58" s="79"/>
      <c r="K58" s="79"/>
      <c r="L58" s="79"/>
      <c r="M58" s="79"/>
      <c r="N58" s="79"/>
      <c r="O58" s="119"/>
      <c r="P58" s="79"/>
      <c r="Q58" s="79"/>
      <c r="R58" s="79"/>
      <c r="S58" s="79"/>
      <c r="T58" s="79"/>
    </row>
    <row r="59" spans="1:20" s="75" customFormat="1">
      <c r="A59" s="92" t="s">
        <v>445</v>
      </c>
      <c r="B59" s="78"/>
      <c r="C59" s="119">
        <v>-3270446673</v>
      </c>
      <c r="D59" s="79"/>
      <c r="E59" s="79">
        <v>-3013791602</v>
      </c>
      <c r="F59" s="79"/>
      <c r="G59" s="79">
        <f t="shared" si="7"/>
        <v>256655071</v>
      </c>
      <c r="H59" s="1243">
        <f>G59-H60-H61</f>
        <v>256655071</v>
      </c>
      <c r="I59" s="79"/>
      <c r="J59" s="79">
        <v>211397985.76999974</v>
      </c>
      <c r="K59" s="79"/>
      <c r="L59" s="79">
        <v>301182102.54000002</v>
      </c>
      <c r="M59" s="79"/>
      <c r="N59" s="79">
        <v>445664142</v>
      </c>
      <c r="O59" s="119">
        <v>-3060443495</v>
      </c>
      <c r="P59" s="79"/>
      <c r="Q59" s="79">
        <v>-3042544461</v>
      </c>
      <c r="R59" s="79"/>
      <c r="S59" s="79">
        <f t="shared" si="8"/>
        <v>17899034</v>
      </c>
      <c r="T59" s="1243">
        <f>S59-T60-T61</f>
        <v>17899034</v>
      </c>
    </row>
    <row r="60" spans="1:20" s="75" customFormat="1">
      <c r="A60" s="92"/>
      <c r="B60" s="78"/>
      <c r="C60" s="119"/>
      <c r="D60" s="79"/>
      <c r="E60" s="79"/>
      <c r="F60" s="79"/>
      <c r="G60" s="79"/>
      <c r="H60" s="79"/>
      <c r="I60" s="79"/>
      <c r="J60" s="79"/>
      <c r="K60" s="79"/>
      <c r="L60" s="79"/>
      <c r="M60" s="79"/>
      <c r="N60" s="79"/>
      <c r="O60" s="119"/>
      <c r="P60" s="79"/>
      <c r="Q60" s="79"/>
      <c r="R60" s="79"/>
      <c r="S60" s="79"/>
      <c r="T60" s="79"/>
    </row>
    <row r="61" spans="1:20" s="75" customFormat="1">
      <c r="A61" s="92"/>
      <c r="B61" s="1226"/>
      <c r="C61" s="119"/>
      <c r="D61" s="79"/>
      <c r="E61" s="79"/>
      <c r="F61" s="79"/>
      <c r="G61" s="79"/>
      <c r="H61" s="79">
        <v>0</v>
      </c>
      <c r="I61" s="79"/>
      <c r="J61" s="79"/>
      <c r="K61" s="79"/>
      <c r="L61" s="79"/>
      <c r="M61" s="79"/>
      <c r="N61" s="79"/>
      <c r="O61" s="119"/>
      <c r="P61" s="79"/>
      <c r="Q61" s="79"/>
      <c r="R61" s="79"/>
      <c r="S61" s="79"/>
      <c r="T61" s="79">
        <v>0</v>
      </c>
    </row>
    <row r="62" spans="1:20" s="75" customFormat="1">
      <c r="A62" s="92"/>
      <c r="B62" s="78"/>
      <c r="C62" s="119"/>
      <c r="D62" s="79"/>
      <c r="E62" s="79"/>
      <c r="F62" s="79"/>
      <c r="G62" s="79"/>
      <c r="H62" s="79"/>
      <c r="I62" s="79"/>
      <c r="J62" s="79"/>
      <c r="K62" s="79"/>
      <c r="L62" s="79"/>
      <c r="M62" s="79"/>
      <c r="N62" s="79"/>
      <c r="O62" s="119"/>
      <c r="P62" s="79"/>
      <c r="Q62" s="79"/>
      <c r="R62" s="79"/>
      <c r="S62" s="79"/>
      <c r="T62" s="278"/>
    </row>
    <row r="63" spans="1:20" s="75" customFormat="1">
      <c r="A63" s="92" t="s">
        <v>554</v>
      </c>
      <c r="B63" s="78"/>
      <c r="C63" s="119">
        <v>0</v>
      </c>
      <c r="D63" s="79"/>
      <c r="E63" s="79">
        <f>-'BS (3)'!E32</f>
        <v>0</v>
      </c>
      <c r="F63" s="79"/>
      <c r="G63" s="79">
        <f t="shared" si="7"/>
        <v>0</v>
      </c>
      <c r="H63" s="79"/>
      <c r="I63" s="79"/>
      <c r="J63" s="79">
        <v>211397985.76999974</v>
      </c>
      <c r="K63" s="79"/>
      <c r="L63" s="79">
        <v>301182102.54000002</v>
      </c>
      <c r="M63" s="79"/>
      <c r="N63" s="79">
        <v>445664142</v>
      </c>
      <c r="O63" s="119">
        <v>0</v>
      </c>
      <c r="P63" s="79"/>
      <c r="Q63" s="79">
        <f>-'BS (3)'!P32</f>
        <v>0</v>
      </c>
      <c r="R63" s="79"/>
      <c r="S63" s="79">
        <f t="shared" si="8"/>
        <v>0</v>
      </c>
      <c r="T63" s="278"/>
    </row>
    <row r="64" spans="1:20" s="75" customFormat="1">
      <c r="A64" s="92"/>
      <c r="B64" s="78"/>
      <c r="C64" s="119"/>
      <c r="D64" s="79"/>
      <c r="E64" s="79"/>
      <c r="F64" s="79"/>
      <c r="G64" s="79"/>
      <c r="H64" s="1194">
        <v>0</v>
      </c>
      <c r="I64" s="79"/>
      <c r="J64" s="79"/>
      <c r="K64" s="79"/>
      <c r="L64" s="79"/>
      <c r="M64" s="79"/>
      <c r="N64" s="79"/>
      <c r="O64" s="119"/>
      <c r="P64" s="79"/>
      <c r="Q64" s="79"/>
      <c r="R64" s="79"/>
      <c r="S64" s="79"/>
      <c r="T64" s="1229">
        <v>0</v>
      </c>
    </row>
    <row r="65" spans="1:23" s="75" customFormat="1">
      <c r="A65" s="92"/>
      <c r="B65" s="78"/>
      <c r="C65" s="119"/>
      <c r="D65" s="79"/>
      <c r="E65" s="79"/>
      <c r="F65" s="79"/>
      <c r="G65" s="79"/>
      <c r="H65" s="1237">
        <f>G63-H64</f>
        <v>0</v>
      </c>
      <c r="I65" s="79"/>
      <c r="J65" s="79"/>
      <c r="K65" s="79"/>
      <c r="L65" s="79"/>
      <c r="M65" s="79"/>
      <c r="N65" s="79"/>
      <c r="O65" s="119"/>
      <c r="P65" s="79"/>
      <c r="Q65" s="79"/>
      <c r="R65" s="79"/>
      <c r="S65" s="79"/>
      <c r="T65" s="1237">
        <f>S63-T64</f>
        <v>0</v>
      </c>
    </row>
    <row r="66" spans="1:23" s="75" customFormat="1">
      <c r="A66" s="92"/>
      <c r="B66" s="78"/>
      <c r="C66" s="119"/>
      <c r="D66" s="79"/>
      <c r="E66" s="79"/>
      <c r="F66" s="79"/>
      <c r="G66" s="79"/>
      <c r="H66" s="79"/>
      <c r="I66" s="79"/>
      <c r="J66" s="79"/>
      <c r="K66" s="79"/>
      <c r="L66" s="79"/>
      <c r="M66" s="79"/>
      <c r="N66" s="79"/>
      <c r="O66" s="119"/>
      <c r="P66" s="79"/>
      <c r="Q66" s="79"/>
      <c r="R66" s="79"/>
      <c r="S66" s="79"/>
      <c r="T66" s="278"/>
      <c r="V66" s="75" t="s">
        <v>213</v>
      </c>
      <c r="W66" s="278">
        <v>59469</v>
      </c>
    </row>
    <row r="67" spans="1:23">
      <c r="A67" s="77" t="s">
        <v>446</v>
      </c>
      <c r="B67" s="78"/>
      <c r="C67" s="119">
        <f>-'BS (3)'!C33</f>
        <v>0</v>
      </c>
      <c r="D67" s="79"/>
      <c r="E67" s="79">
        <f>-'BS (3)'!E33</f>
        <v>0</v>
      </c>
      <c r="F67" s="79"/>
      <c r="G67" s="79">
        <f t="shared" si="7"/>
        <v>0</v>
      </c>
      <c r="H67" s="1243"/>
      <c r="I67" s="79"/>
      <c r="J67" s="79">
        <v>211397985.76999974</v>
      </c>
      <c r="K67" s="79"/>
      <c r="L67" s="79">
        <v>301182102.54000002</v>
      </c>
      <c r="M67" s="79"/>
      <c r="N67" s="79">
        <v>445664142</v>
      </c>
      <c r="O67" s="119">
        <v>-2341248615</v>
      </c>
      <c r="P67" s="79"/>
      <c r="Q67" s="79">
        <v>-2216941297</v>
      </c>
      <c r="R67" s="79"/>
      <c r="S67" s="79">
        <f t="shared" si="8"/>
        <v>124307318</v>
      </c>
      <c r="T67" s="1245">
        <f>S67</f>
        <v>124307318</v>
      </c>
      <c r="V67" s="76" t="s">
        <v>328</v>
      </c>
    </row>
    <row r="68" spans="1:23">
      <c r="A68" s="77" t="s">
        <v>105</v>
      </c>
      <c r="B68" s="78"/>
      <c r="C68" s="119">
        <v>-232377088</v>
      </c>
      <c r="D68" s="79"/>
      <c r="E68" s="79">
        <v>-39914796</v>
      </c>
      <c r="F68" s="79"/>
      <c r="G68" s="79">
        <f t="shared" si="7"/>
        <v>192462292</v>
      </c>
      <c r="H68" s="79"/>
      <c r="I68" s="79"/>
      <c r="J68" s="79">
        <v>211397985.76999974</v>
      </c>
      <c r="K68" s="79"/>
      <c r="L68" s="79">
        <v>301182102.54000002</v>
      </c>
      <c r="M68" s="79"/>
      <c r="N68" s="79">
        <v>445664142</v>
      </c>
      <c r="O68" s="119">
        <v>-310129536</v>
      </c>
      <c r="P68" s="79"/>
      <c r="Q68" s="79">
        <v>-85759294</v>
      </c>
      <c r="R68" s="79"/>
      <c r="S68" s="79">
        <f t="shared" si="8"/>
        <v>224370242</v>
      </c>
      <c r="V68" s="76" t="s">
        <v>211</v>
      </c>
      <c r="W68" s="83">
        <f>H70</f>
        <v>0</v>
      </c>
    </row>
    <row r="69" spans="1:23">
      <c r="A69" s="77"/>
      <c r="B69" s="78"/>
      <c r="C69" s="119"/>
      <c r="D69" s="79"/>
      <c r="E69" s="79"/>
      <c r="F69" s="79"/>
      <c r="G69" s="79"/>
      <c r="H69" s="1194">
        <f>-H93</f>
        <v>578041500</v>
      </c>
      <c r="I69" s="79"/>
      <c r="J69" s="79"/>
      <c r="K69" s="79"/>
      <c r="L69" s="79"/>
      <c r="M69" s="79"/>
      <c r="N69" s="79"/>
      <c r="O69" s="119"/>
      <c r="P69" s="79"/>
      <c r="Q69" s="79"/>
      <c r="R69" s="79"/>
      <c r="S69" s="79"/>
      <c r="T69" s="1229">
        <f>-T93</f>
        <v>677557949</v>
      </c>
      <c r="V69" s="76" t="s">
        <v>214</v>
      </c>
    </row>
    <row r="70" spans="1:23">
      <c r="A70" s="77"/>
      <c r="B70" s="78"/>
      <c r="C70" s="119"/>
      <c r="D70" s="79"/>
      <c r="E70" s="79"/>
      <c r="F70" s="79"/>
      <c r="G70" s="79"/>
      <c r="H70" s="1188">
        <v>0</v>
      </c>
      <c r="I70" s="79"/>
      <c r="J70" s="79"/>
      <c r="K70" s="79"/>
      <c r="L70" s="79"/>
      <c r="M70" s="79"/>
      <c r="N70" s="79"/>
      <c r="O70" s="119"/>
      <c r="P70" s="79"/>
      <c r="Q70" s="79"/>
      <c r="R70" s="79"/>
      <c r="S70" s="79"/>
      <c r="T70" s="276">
        <f>W73</f>
        <v>59469</v>
      </c>
      <c r="U70" s="83"/>
      <c r="V70" s="76" t="s">
        <v>580</v>
      </c>
    </row>
    <row r="71" spans="1:23">
      <c r="A71" s="77"/>
      <c r="B71" s="78"/>
      <c r="C71" s="119"/>
      <c r="D71" s="79"/>
      <c r="E71" s="79"/>
      <c r="F71" s="79"/>
      <c r="G71" s="79"/>
      <c r="H71" s="79">
        <f>-H75</f>
        <v>0</v>
      </c>
      <c r="I71" s="79"/>
      <c r="J71" s="79"/>
      <c r="K71" s="79"/>
      <c r="L71" s="79"/>
      <c r="M71" s="79"/>
      <c r="N71" s="79"/>
      <c r="O71" s="119"/>
      <c r="P71" s="79"/>
      <c r="Q71" s="79"/>
      <c r="R71" s="79"/>
      <c r="S71" s="79"/>
      <c r="T71" s="276">
        <f>-T75</f>
        <v>-2</v>
      </c>
      <c r="U71" s="83"/>
    </row>
    <row r="72" spans="1:23">
      <c r="A72" s="77"/>
      <c r="B72" s="78"/>
      <c r="C72" s="119"/>
      <c r="D72" s="79"/>
      <c r="E72" s="79"/>
      <c r="F72" s="79"/>
      <c r="G72" s="79"/>
      <c r="H72" s="1243">
        <f>G68-H69-H70-H71</f>
        <v>-385579208</v>
      </c>
      <c r="I72" s="79"/>
      <c r="J72" s="79"/>
      <c r="K72" s="79"/>
      <c r="L72" s="79"/>
      <c r="M72" s="79"/>
      <c r="N72" s="79"/>
      <c r="O72" s="119"/>
      <c r="P72" s="79"/>
      <c r="Q72" s="79"/>
      <c r="R72" s="79"/>
      <c r="S72" s="79"/>
      <c r="T72" s="1243">
        <f>S68-T69-T70-T71</f>
        <v>-453247174</v>
      </c>
      <c r="V72" s="76" t="s">
        <v>212</v>
      </c>
    </row>
    <row r="73" spans="1:23" ht="16.5" thickBot="1">
      <c r="A73" s="77"/>
      <c r="B73" s="78"/>
      <c r="C73" s="119"/>
      <c r="D73" s="79"/>
      <c r="E73" s="79"/>
      <c r="F73" s="79"/>
      <c r="G73" s="79"/>
      <c r="H73" s="79"/>
      <c r="I73" s="79"/>
      <c r="J73" s="79"/>
      <c r="K73" s="79"/>
      <c r="L73" s="79"/>
      <c r="M73" s="79"/>
      <c r="N73" s="79"/>
      <c r="O73" s="119"/>
      <c r="P73" s="79"/>
      <c r="Q73" s="79"/>
      <c r="R73" s="79"/>
      <c r="S73" s="79"/>
      <c r="W73" s="1223">
        <f>SUM(W66:W72)</f>
        <v>59469</v>
      </c>
    </row>
    <row r="74" spans="1:23" s="88" customFormat="1" ht="15.75" customHeight="1" thickTop="1">
      <c r="A74" s="77" t="s">
        <v>106</v>
      </c>
      <c r="B74" s="78"/>
      <c r="C74" s="119">
        <v>-1200640841</v>
      </c>
      <c r="D74" s="79"/>
      <c r="E74" s="79">
        <v>-1200640841</v>
      </c>
      <c r="F74" s="79"/>
      <c r="G74" s="79">
        <f t="shared" si="7"/>
        <v>0</v>
      </c>
      <c r="H74" s="79"/>
      <c r="I74" s="79"/>
      <c r="J74" s="79">
        <v>211397985.76999974</v>
      </c>
      <c r="K74" s="79"/>
      <c r="L74" s="79">
        <v>301182102.54000002</v>
      </c>
      <c r="M74" s="79"/>
      <c r="N74" s="79">
        <v>445664142</v>
      </c>
      <c r="O74" s="119">
        <v>-1209777282</v>
      </c>
      <c r="P74" s="79"/>
      <c r="Q74" s="79">
        <v>-1209777280</v>
      </c>
      <c r="R74" s="79"/>
      <c r="S74" s="79">
        <f t="shared" si="8"/>
        <v>2</v>
      </c>
      <c r="T74" s="278"/>
      <c r="U74" s="75"/>
    </row>
    <row r="75" spans="1:23" s="88" customFormat="1" ht="15.75" customHeight="1">
      <c r="A75" s="77"/>
      <c r="B75" s="78"/>
      <c r="C75" s="119"/>
      <c r="D75" s="79"/>
      <c r="E75" s="79"/>
      <c r="F75" s="79"/>
      <c r="G75" s="79"/>
      <c r="H75" s="79">
        <f>G74</f>
        <v>0</v>
      </c>
      <c r="I75" s="79"/>
      <c r="J75" s="79"/>
      <c r="K75" s="79"/>
      <c r="L75" s="79"/>
      <c r="M75" s="79"/>
      <c r="N75" s="79"/>
      <c r="O75" s="119"/>
      <c r="P75" s="79"/>
      <c r="Q75" s="79"/>
      <c r="R75" s="79"/>
      <c r="S75" s="79"/>
      <c r="T75" s="278">
        <f>S74</f>
        <v>2</v>
      </c>
      <c r="U75" s="75"/>
    </row>
    <row r="76" spans="1:23" s="88" customFormat="1" ht="15.75" customHeight="1">
      <c r="A76" s="77"/>
      <c r="B76" s="78"/>
      <c r="C76" s="119"/>
      <c r="D76" s="79"/>
      <c r="E76" s="79"/>
      <c r="F76" s="79"/>
      <c r="G76" s="79"/>
      <c r="H76" s="79"/>
      <c r="I76" s="79"/>
      <c r="J76" s="79"/>
      <c r="K76" s="79"/>
      <c r="L76" s="79"/>
      <c r="M76" s="79"/>
      <c r="N76" s="79"/>
      <c r="O76" s="119"/>
      <c r="P76" s="79"/>
      <c r="Q76" s="79"/>
      <c r="R76" s="79"/>
      <c r="S76" s="79"/>
      <c r="T76" s="278"/>
      <c r="U76" s="75"/>
    </row>
    <row r="77" spans="1:23" ht="15.75" customHeight="1">
      <c r="A77" s="77" t="s">
        <v>107</v>
      </c>
      <c r="B77" s="78"/>
      <c r="C77" s="119">
        <v>-57605784</v>
      </c>
      <c r="D77" s="79"/>
      <c r="E77" s="79">
        <v>-80699160</v>
      </c>
      <c r="F77" s="79"/>
      <c r="G77" s="79">
        <f t="shared" si="7"/>
        <v>-23093376</v>
      </c>
      <c r="H77" s="79"/>
      <c r="I77" s="79"/>
      <c r="J77" s="79">
        <v>211397985.76999974</v>
      </c>
      <c r="K77" s="79"/>
      <c r="L77" s="79">
        <v>301182102.54000002</v>
      </c>
      <c r="M77" s="79"/>
      <c r="N77" s="79">
        <v>445664142</v>
      </c>
      <c r="O77" s="119">
        <v>-66975927</v>
      </c>
      <c r="P77" s="79"/>
      <c r="Q77" s="79">
        <v>-81692247</v>
      </c>
      <c r="R77" s="79"/>
      <c r="S77" s="79">
        <f t="shared" si="8"/>
        <v>-14716320</v>
      </c>
    </row>
    <row r="78" spans="1:23" ht="15.75" customHeight="1">
      <c r="A78" s="77"/>
      <c r="B78" s="78"/>
      <c r="C78" s="119"/>
      <c r="D78" s="79"/>
      <c r="E78" s="79"/>
      <c r="F78" s="79"/>
      <c r="G78" s="79"/>
      <c r="H78" s="1232">
        <v>6274109</v>
      </c>
      <c r="I78" s="79"/>
      <c r="J78" s="79"/>
      <c r="K78" s="79"/>
      <c r="L78" s="79"/>
      <c r="M78" s="79"/>
      <c r="N78" s="79"/>
      <c r="O78" s="119"/>
      <c r="P78" s="79"/>
      <c r="Q78" s="79"/>
      <c r="R78" s="79"/>
      <c r="S78" s="79"/>
      <c r="T78" s="1232">
        <v>7901515.4400000004</v>
      </c>
    </row>
    <row r="79" spans="1:23" ht="15.75" customHeight="1">
      <c r="A79" s="77"/>
      <c r="B79" s="78"/>
      <c r="C79" s="119"/>
      <c r="D79" s="79"/>
      <c r="E79" s="79"/>
      <c r="F79" s="79"/>
      <c r="G79" s="79"/>
      <c r="H79" s="1188">
        <v>-4247532</v>
      </c>
      <c r="I79" s="79"/>
      <c r="J79" s="79"/>
      <c r="K79" s="79"/>
      <c r="L79" s="79"/>
      <c r="M79" s="79"/>
      <c r="N79" s="79"/>
      <c r="O79" s="119"/>
      <c r="P79" s="79"/>
      <c r="Q79" s="79"/>
      <c r="R79" s="79"/>
      <c r="S79" s="79"/>
      <c r="T79" s="1189">
        <v>-4247532</v>
      </c>
    </row>
    <row r="80" spans="1:23" ht="15.75" customHeight="1">
      <c r="A80" s="77"/>
      <c r="B80" s="78"/>
      <c r="C80" s="119"/>
      <c r="D80" s="79"/>
      <c r="E80" s="79"/>
      <c r="F80" s="79"/>
      <c r="G80" s="79"/>
      <c r="H80" s="1243">
        <f>G77-H77-H78-H79</f>
        <v>-25119953</v>
      </c>
      <c r="I80" s="79"/>
      <c r="J80" s="79"/>
      <c r="K80" s="79"/>
      <c r="L80" s="79"/>
      <c r="M80" s="79"/>
      <c r="N80" s="79"/>
      <c r="O80" s="119"/>
      <c r="P80" s="79"/>
      <c r="Q80" s="79"/>
      <c r="R80" s="79"/>
      <c r="S80" s="79"/>
      <c r="T80" s="1243">
        <f>S77-T77-T78-T79</f>
        <v>-18370303.440000001</v>
      </c>
    </row>
    <row r="81" spans="1:20" ht="15.75" customHeight="1">
      <c r="A81" s="77"/>
      <c r="B81" s="78"/>
      <c r="C81" s="119"/>
      <c r="D81" s="79"/>
      <c r="E81" s="79"/>
      <c r="F81" s="79"/>
      <c r="G81" s="79"/>
      <c r="H81" s="79"/>
      <c r="I81" s="79"/>
      <c r="J81" s="79"/>
      <c r="K81" s="79"/>
      <c r="L81" s="79"/>
      <c r="M81" s="79"/>
      <c r="N81" s="79"/>
      <c r="O81" s="119"/>
      <c r="P81" s="79"/>
      <c r="Q81" s="79"/>
      <c r="R81" s="79"/>
      <c r="S81" s="79"/>
    </row>
    <row r="82" spans="1:20" ht="15.75" customHeight="1">
      <c r="A82" s="80"/>
      <c r="B82" s="89"/>
      <c r="C82" s="123"/>
      <c r="D82" s="90"/>
      <c r="E82" s="106"/>
      <c r="F82" s="90"/>
      <c r="G82" s="79"/>
      <c r="H82" s="79"/>
      <c r="I82" s="90"/>
      <c r="J82" s="106"/>
      <c r="K82" s="90"/>
      <c r="L82" s="90"/>
      <c r="M82" s="90"/>
      <c r="N82" s="90"/>
      <c r="O82" s="123"/>
      <c r="P82" s="90"/>
      <c r="Q82" s="106"/>
      <c r="R82" s="90"/>
      <c r="S82" s="79"/>
    </row>
    <row r="83" spans="1:20" ht="15.75" customHeight="1">
      <c r="A83" s="80"/>
      <c r="B83" s="89"/>
      <c r="C83" s="121"/>
      <c r="D83" s="90"/>
      <c r="E83" s="90"/>
      <c r="F83" s="90"/>
      <c r="G83" s="79"/>
      <c r="H83" s="79"/>
      <c r="I83" s="90"/>
      <c r="J83" s="90"/>
      <c r="K83" s="90"/>
      <c r="L83" s="90"/>
      <c r="M83" s="90"/>
      <c r="N83" s="90"/>
      <c r="O83" s="121"/>
      <c r="P83" s="90"/>
      <c r="Q83" s="90"/>
      <c r="R83" s="90"/>
      <c r="S83" s="79"/>
    </row>
    <row r="84" spans="1:20" s="91" customFormat="1" ht="15.75" customHeight="1">
      <c r="A84" s="80" t="s">
        <v>109</v>
      </c>
      <c r="B84" s="89"/>
      <c r="C84" s="121"/>
      <c r="D84" s="90"/>
      <c r="E84" s="90"/>
      <c r="F84" s="90"/>
      <c r="G84" s="79"/>
      <c r="H84" s="79"/>
      <c r="I84" s="90"/>
      <c r="J84" s="90"/>
      <c r="K84" s="90"/>
      <c r="L84" s="90"/>
      <c r="M84" s="90"/>
      <c r="N84" s="90"/>
      <c r="O84" s="121"/>
      <c r="P84" s="90"/>
      <c r="Q84" s="90"/>
      <c r="R84" s="90"/>
      <c r="S84" s="79"/>
      <c r="T84" s="277"/>
    </row>
    <row r="85" spans="1:20" s="75" customFormat="1" ht="15.75" customHeight="1">
      <c r="A85" s="77" t="s">
        <v>447</v>
      </c>
      <c r="B85" s="78"/>
      <c r="C85" s="119">
        <v>-12586073308</v>
      </c>
      <c r="D85" s="79"/>
      <c r="E85" s="79">
        <v>-12536073308</v>
      </c>
      <c r="F85" s="79"/>
      <c r="G85" s="79">
        <f t="shared" ref="G85:G100" si="9">E85-C85</f>
        <v>50000000</v>
      </c>
      <c r="H85" s="79"/>
      <c r="I85" s="79"/>
      <c r="J85" s="79">
        <v>211397985.76999974</v>
      </c>
      <c r="K85" s="79"/>
      <c r="L85" s="79">
        <v>301182102.54000002</v>
      </c>
      <c r="M85" s="79"/>
      <c r="N85" s="79">
        <v>445664142</v>
      </c>
      <c r="O85" s="119">
        <v>-12586073308</v>
      </c>
      <c r="P85" s="79"/>
      <c r="Q85" s="79">
        <v>-12536073308</v>
      </c>
      <c r="R85" s="79"/>
      <c r="S85" s="79">
        <f t="shared" ref="S85:S100" si="10">Q85-O85</f>
        <v>50000000</v>
      </c>
      <c r="T85" s="278"/>
    </row>
    <row r="86" spans="1:20" s="75" customFormat="1" ht="15.75" customHeight="1">
      <c r="A86" s="77"/>
      <c r="B86" s="78"/>
      <c r="C86" s="119"/>
      <c r="D86" s="79"/>
      <c r="E86" s="79"/>
      <c r="F86" s="79"/>
      <c r="G86" s="79"/>
      <c r="H86" s="1194">
        <f>G85</f>
        <v>50000000</v>
      </c>
      <c r="I86" s="79"/>
      <c r="J86" s="79"/>
      <c r="K86" s="79"/>
      <c r="L86" s="79"/>
      <c r="M86" s="79"/>
      <c r="N86" s="79"/>
      <c r="O86" s="119"/>
      <c r="P86" s="79"/>
      <c r="Q86" s="79"/>
      <c r="R86" s="79"/>
      <c r="S86" s="79"/>
      <c r="T86" s="1194">
        <f>S85</f>
        <v>50000000</v>
      </c>
    </row>
    <row r="87" spans="1:20" s="75" customFormat="1" ht="15.75" customHeight="1">
      <c r="A87" s="77"/>
      <c r="B87" s="78"/>
      <c r="C87" s="119"/>
      <c r="D87" s="79"/>
      <c r="E87" s="79"/>
      <c r="F87" s="79"/>
      <c r="G87" s="79"/>
      <c r="H87" s="79"/>
      <c r="I87" s="79"/>
      <c r="J87" s="79"/>
      <c r="K87" s="79"/>
      <c r="L87" s="79"/>
      <c r="M87" s="79"/>
      <c r="N87" s="79"/>
      <c r="O87" s="119"/>
      <c r="P87" s="79"/>
      <c r="Q87" s="79"/>
      <c r="R87" s="79"/>
      <c r="S87" s="79"/>
      <c r="T87" s="278"/>
    </row>
    <row r="88" spans="1:20" ht="15.75" customHeight="1">
      <c r="A88" s="77" t="s">
        <v>110</v>
      </c>
      <c r="B88" s="78"/>
      <c r="C88" s="119">
        <v>-893520568.76999998</v>
      </c>
      <c r="D88" s="79"/>
      <c r="E88" s="79">
        <v>-860280276</v>
      </c>
      <c r="F88" s="79"/>
      <c r="G88" s="79">
        <f t="shared" si="9"/>
        <v>33240292.769999981</v>
      </c>
      <c r="H88" s="79"/>
      <c r="I88" s="79"/>
      <c r="J88" s="79">
        <v>211397985.76999974</v>
      </c>
      <c r="K88" s="79"/>
      <c r="L88" s="79">
        <v>301182102.54000002</v>
      </c>
      <c r="M88" s="79"/>
      <c r="N88" s="79">
        <v>445664142</v>
      </c>
      <c r="O88" s="119">
        <v>-893520568.76999998</v>
      </c>
      <c r="P88" s="79"/>
      <c r="Q88" s="79">
        <v>-860280276</v>
      </c>
      <c r="R88" s="79"/>
      <c r="S88" s="79">
        <f t="shared" si="10"/>
        <v>33240292.769999981</v>
      </c>
    </row>
    <row r="89" spans="1:20" ht="15.75" customHeight="1">
      <c r="A89" s="77"/>
      <c r="B89" s="78"/>
      <c r="C89" s="119"/>
      <c r="D89" s="79"/>
      <c r="E89" s="79"/>
      <c r="F89" s="79"/>
      <c r="G89" s="79"/>
      <c r="H89" s="1194">
        <f>-H94</f>
        <v>33240293</v>
      </c>
      <c r="I89" s="79"/>
      <c r="J89" s="79"/>
      <c r="K89" s="79"/>
      <c r="L89" s="79"/>
      <c r="M89" s="79"/>
      <c r="N89" s="79"/>
      <c r="O89" s="119"/>
      <c r="P89" s="79"/>
      <c r="Q89" s="79"/>
      <c r="R89" s="79"/>
      <c r="S89" s="79"/>
      <c r="T89" s="1229">
        <f>-T94</f>
        <v>33240292.769999981</v>
      </c>
    </row>
    <row r="90" spans="1:20" ht="15.75" customHeight="1">
      <c r="A90" s="77"/>
      <c r="B90" s="78"/>
      <c r="C90" s="119"/>
      <c r="D90" s="79"/>
      <c r="E90" s="79"/>
      <c r="F90" s="79"/>
      <c r="G90" s="79"/>
      <c r="H90" s="79"/>
      <c r="I90" s="79"/>
      <c r="J90" s="79"/>
      <c r="K90" s="79"/>
      <c r="L90" s="79"/>
      <c r="M90" s="79"/>
      <c r="N90" s="79"/>
      <c r="O90" s="119"/>
      <c r="P90" s="79"/>
      <c r="Q90" s="79"/>
      <c r="R90" s="79"/>
      <c r="S90" s="79"/>
    </row>
    <row r="91" spans="1:20" ht="15.75" customHeight="1">
      <c r="A91" s="77" t="s">
        <v>111</v>
      </c>
      <c r="B91" s="78"/>
      <c r="C91" s="119">
        <v>-3966595977</v>
      </c>
      <c r="D91" s="79"/>
      <c r="E91" s="79">
        <v>-3495578245</v>
      </c>
      <c r="F91" s="79"/>
      <c r="G91" s="79">
        <f t="shared" si="9"/>
        <v>471017732</v>
      </c>
      <c r="H91" s="79"/>
      <c r="I91" s="79"/>
      <c r="J91" s="79">
        <v>211397985.76999974</v>
      </c>
      <c r="K91" s="79"/>
      <c r="L91" s="79">
        <v>301182102.54000002</v>
      </c>
      <c r="M91" s="79"/>
      <c r="N91" s="79">
        <v>445664142</v>
      </c>
      <c r="O91" s="119">
        <v>-4230819374</v>
      </c>
      <c r="P91" s="79"/>
      <c r="Q91" s="79">
        <v>-3723586400</v>
      </c>
      <c r="R91" s="79"/>
      <c r="S91" s="79">
        <f t="shared" si="10"/>
        <v>507232974</v>
      </c>
    </row>
    <row r="92" spans="1:20" ht="15.75" customHeight="1">
      <c r="A92" s="77"/>
      <c r="B92" s="78"/>
      <c r="C92" s="119"/>
      <c r="D92" s="79"/>
      <c r="E92" s="79"/>
      <c r="F92" s="79"/>
      <c r="G92" s="79"/>
      <c r="H92" s="1188">
        <f>'P &amp; L (C &amp; G)'!E33</f>
        <v>1982394956.1529999</v>
      </c>
      <c r="I92" s="79"/>
      <c r="J92" s="79"/>
      <c r="K92" s="79"/>
      <c r="L92" s="79"/>
      <c r="M92" s="79"/>
      <c r="N92" s="79"/>
      <c r="O92" s="119"/>
      <c r="P92" s="79"/>
      <c r="Q92" s="79"/>
      <c r="R92" s="79"/>
      <c r="S92" s="79"/>
      <c r="T92" s="276">
        <f>'P &amp; L (C &amp; G)'!K33</f>
        <v>2144569992.823</v>
      </c>
    </row>
    <row r="93" spans="1:20" ht="15.75" customHeight="1">
      <c r="A93" s="77"/>
      <c r="B93" s="78"/>
      <c r="C93" s="119"/>
      <c r="D93" s="79"/>
      <c r="E93" s="79"/>
      <c r="F93" s="79"/>
      <c r="G93" s="79"/>
      <c r="H93" s="1194">
        <f>-'P &amp; L (C &amp; G)'!E35</f>
        <v>-578041500</v>
      </c>
      <c r="I93" s="79"/>
      <c r="J93" s="79"/>
      <c r="K93" s="79"/>
      <c r="L93" s="79"/>
      <c r="M93" s="79"/>
      <c r="N93" s="79"/>
      <c r="O93" s="119"/>
      <c r="P93" s="79"/>
      <c r="Q93" s="79"/>
      <c r="R93" s="79"/>
      <c r="S93" s="79"/>
      <c r="T93" s="1228">
        <f>-'P &amp; L (C &amp; G)'!K35</f>
        <v>-677557949</v>
      </c>
    </row>
    <row r="94" spans="1:20" ht="15.75" customHeight="1">
      <c r="A94" s="77"/>
      <c r="B94" s="78"/>
      <c r="C94" s="119"/>
      <c r="D94" s="79"/>
      <c r="E94" s="79"/>
      <c r="F94" s="79"/>
      <c r="G94" s="79"/>
      <c r="H94" s="1194">
        <f>-'CE_Company (2)'!D17</f>
        <v>-33240293</v>
      </c>
      <c r="I94" s="79"/>
      <c r="J94" s="79"/>
      <c r="K94" s="79"/>
      <c r="L94" s="79"/>
      <c r="M94" s="79"/>
      <c r="N94" s="79"/>
      <c r="O94" s="119"/>
      <c r="P94" s="79"/>
      <c r="Q94" s="79"/>
      <c r="R94" s="79"/>
      <c r="S94" s="79"/>
      <c r="T94" s="1228">
        <f>-'CE_Group 1 (2)'!D15</f>
        <v>-33240292.769999981</v>
      </c>
    </row>
    <row r="95" spans="1:20" ht="15.75" customHeight="1">
      <c r="A95" s="77"/>
      <c r="B95" s="78"/>
      <c r="C95" s="119"/>
      <c r="D95" s="79"/>
      <c r="E95" s="79"/>
      <c r="F95" s="79"/>
      <c r="G95" s="79"/>
      <c r="H95" s="1194">
        <f>-'CE_Company (2)'!J17</f>
        <v>-88265744</v>
      </c>
      <c r="I95" s="79"/>
      <c r="J95" s="79"/>
      <c r="K95" s="79"/>
      <c r="L95" s="79"/>
      <c r="M95" s="79"/>
      <c r="N95" s="79"/>
      <c r="O95" s="119"/>
      <c r="P95" s="79"/>
      <c r="Q95" s="79"/>
      <c r="R95" s="79"/>
      <c r="S95" s="79"/>
      <c r="T95" s="1228">
        <f>-'CE_Group 1 (2)'!J15</f>
        <v>-88265743.679999948</v>
      </c>
    </row>
    <row r="96" spans="1:20" ht="15.75" customHeight="1">
      <c r="A96" s="77"/>
      <c r="B96" s="78"/>
      <c r="C96" s="119"/>
      <c r="D96" s="79"/>
      <c r="E96" s="79"/>
      <c r="F96" s="79"/>
      <c r="G96" s="79"/>
      <c r="H96" s="1194">
        <f>-H86</f>
        <v>-50000000</v>
      </c>
      <c r="I96" s="79"/>
      <c r="J96" s="79"/>
      <c r="K96" s="79"/>
      <c r="L96" s="79"/>
      <c r="M96" s="79"/>
      <c r="N96" s="79"/>
      <c r="O96" s="119"/>
      <c r="P96" s="79"/>
      <c r="Q96" s="79"/>
      <c r="R96" s="79"/>
      <c r="S96" s="79"/>
      <c r="T96" s="1194">
        <f>-T86</f>
        <v>-50000000</v>
      </c>
    </row>
    <row r="97" spans="1:20" ht="15.75" customHeight="1">
      <c r="A97" s="77"/>
      <c r="B97" s="78"/>
      <c r="C97" s="119"/>
      <c r="D97" s="79"/>
      <c r="E97" s="79"/>
      <c r="F97" s="79"/>
      <c r="G97" s="79"/>
      <c r="H97" s="1188">
        <f>'CE_Company (2)'!P18</f>
        <v>0</v>
      </c>
      <c r="I97" s="79"/>
      <c r="J97" s="79"/>
      <c r="K97" s="79"/>
      <c r="L97" s="79"/>
      <c r="M97" s="79"/>
      <c r="N97" s="79"/>
      <c r="O97" s="119"/>
      <c r="P97" s="79"/>
      <c r="Q97" s="79"/>
      <c r="R97" s="79"/>
      <c r="S97" s="79"/>
      <c r="T97" s="276">
        <f>'CE_Group 1 (2)'!R16</f>
        <v>0</v>
      </c>
    </row>
    <row r="98" spans="1:20" ht="15.75" customHeight="1">
      <c r="A98" s="77"/>
      <c r="B98" s="78"/>
      <c r="C98" s="119"/>
      <c r="D98" s="79"/>
      <c r="E98" s="79"/>
      <c r="F98" s="79"/>
      <c r="G98" s="79"/>
      <c r="H98" s="1244">
        <f>G91-H92-H93-H94-H95-H96-H97</f>
        <v>-761829687.15299988</v>
      </c>
      <c r="I98" s="79"/>
      <c r="J98" s="79"/>
      <c r="K98" s="79"/>
      <c r="L98" s="79"/>
      <c r="M98" s="79"/>
      <c r="N98" s="79"/>
      <c r="O98" s="119"/>
      <c r="P98" s="79"/>
      <c r="Q98" s="79"/>
      <c r="R98" s="79"/>
      <c r="S98" s="79"/>
      <c r="T98" s="1244">
        <f>S91-T92-T93-T94-T95-T96-T97</f>
        <v>-788273033.37300003</v>
      </c>
    </row>
    <row r="99" spans="1:20" ht="15.75" customHeight="1">
      <c r="A99" s="77"/>
      <c r="B99" s="78"/>
      <c r="C99" s="119"/>
      <c r="D99" s="79"/>
      <c r="E99" s="79"/>
      <c r="F99" s="79"/>
      <c r="G99" s="79"/>
      <c r="H99" s="79"/>
      <c r="I99" s="79"/>
      <c r="J99" s="79"/>
      <c r="K99" s="79"/>
      <c r="L99" s="79"/>
      <c r="M99" s="79"/>
      <c r="N99" s="79"/>
      <c r="O99" s="119"/>
      <c r="P99" s="79"/>
      <c r="Q99" s="79"/>
      <c r="R99" s="79"/>
      <c r="S99" s="79"/>
    </row>
    <row r="100" spans="1:20" ht="15.75" customHeight="1">
      <c r="A100" s="77" t="s">
        <v>112</v>
      </c>
      <c r="B100" s="78"/>
      <c r="C100" s="119">
        <v>-1231196264</v>
      </c>
      <c r="D100" s="79"/>
      <c r="E100" s="79">
        <v>-1130756526</v>
      </c>
      <c r="F100" s="79"/>
      <c r="G100" s="79">
        <f t="shared" si="9"/>
        <v>100439738</v>
      </c>
      <c r="H100" s="79"/>
      <c r="I100" s="79"/>
      <c r="J100" s="79">
        <v>211397985.76999974</v>
      </c>
      <c r="K100" s="79"/>
      <c r="L100" s="79">
        <v>301182102.54000002</v>
      </c>
      <c r="M100" s="79"/>
      <c r="N100" s="79">
        <v>445664142</v>
      </c>
      <c r="O100" s="119">
        <v>-1231853091</v>
      </c>
      <c r="P100" s="79"/>
      <c r="Q100" s="79">
        <v>-1132436192</v>
      </c>
      <c r="R100" s="79"/>
      <c r="S100" s="79">
        <f t="shared" si="10"/>
        <v>99416899</v>
      </c>
    </row>
    <row r="101" spans="1:20" ht="15.75" customHeight="1">
      <c r="A101" s="77"/>
      <c r="B101" s="78"/>
      <c r="C101" s="119"/>
      <c r="D101" s="79"/>
      <c r="E101" s="79"/>
      <c r="F101" s="79"/>
      <c r="G101" s="79"/>
      <c r="H101" s="1194">
        <f>-H95</f>
        <v>88265744</v>
      </c>
      <c r="I101" s="79"/>
      <c r="J101" s="79"/>
      <c r="K101" s="79"/>
      <c r="L101" s="79"/>
      <c r="M101" s="79"/>
      <c r="N101" s="79"/>
      <c r="O101" s="119"/>
      <c r="P101" s="79"/>
      <c r="Q101" s="79"/>
      <c r="R101" s="79"/>
      <c r="S101" s="79"/>
      <c r="T101" s="1228">
        <f>-T95</f>
        <v>88265743.679999948</v>
      </c>
    </row>
    <row r="102" spans="1:20" ht="15.75" customHeight="1">
      <c r="A102" s="77"/>
      <c r="B102" s="78"/>
      <c r="C102" s="119"/>
      <c r="D102" s="79"/>
      <c r="E102" s="79"/>
      <c r="F102" s="79"/>
      <c r="G102" s="79"/>
      <c r="H102" s="1194">
        <f>'CE_Company (2)'!L12</f>
        <v>6162008</v>
      </c>
      <c r="I102" s="79"/>
      <c r="J102" s="79"/>
      <c r="K102" s="79"/>
      <c r="L102" s="79"/>
      <c r="M102" s="79"/>
      <c r="N102" s="79"/>
      <c r="O102" s="119"/>
      <c r="P102" s="79"/>
      <c r="Q102" s="79"/>
      <c r="R102" s="79"/>
      <c r="S102" s="79"/>
      <c r="T102" s="1228">
        <f>'CE_Group 1 (2)'!N10</f>
        <v>1584062</v>
      </c>
    </row>
    <row r="103" spans="1:20" ht="15.75" customHeight="1">
      <c r="A103" s="77"/>
      <c r="B103" s="78"/>
      <c r="C103" s="119"/>
      <c r="D103" s="79"/>
      <c r="E103" s="79"/>
      <c r="F103" s="79"/>
      <c r="G103" s="79"/>
      <c r="H103" s="1194">
        <f>'CE_Company (2)'!N12</f>
        <v>0</v>
      </c>
      <c r="I103" s="79"/>
      <c r="J103" s="79"/>
      <c r="K103" s="79"/>
      <c r="L103" s="79"/>
      <c r="M103" s="79"/>
      <c r="N103" s="79"/>
      <c r="O103" s="119"/>
      <c r="P103" s="79"/>
      <c r="Q103" s="79"/>
      <c r="R103" s="79"/>
      <c r="S103" s="79"/>
      <c r="T103" s="1228">
        <f>'CE_Group 1 (2)'!P10</f>
        <v>0</v>
      </c>
    </row>
    <row r="104" spans="1:20" s="91" customFormat="1" ht="15.75" customHeight="1">
      <c r="A104" s="80"/>
      <c r="B104" s="89"/>
      <c r="C104" s="123"/>
      <c r="D104" s="90"/>
      <c r="E104" s="106"/>
      <c r="F104" s="90"/>
      <c r="G104" s="79"/>
      <c r="H104" s="79"/>
      <c r="I104" s="90"/>
      <c r="J104" s="106"/>
      <c r="K104" s="90"/>
      <c r="L104" s="90"/>
      <c r="M104" s="90"/>
      <c r="N104" s="90"/>
      <c r="O104" s="123"/>
      <c r="P104" s="90"/>
      <c r="Q104" s="106"/>
      <c r="R104" s="90"/>
      <c r="S104" s="79"/>
      <c r="T104" s="277"/>
    </row>
    <row r="105" spans="1:20" s="91" customFormat="1" ht="15.75" customHeight="1">
      <c r="A105" s="80"/>
      <c r="B105" s="89"/>
      <c r="C105" s="1185"/>
      <c r="D105" s="90"/>
      <c r="E105" s="1186"/>
      <c r="F105" s="90"/>
      <c r="G105" s="79"/>
      <c r="H105" s="79"/>
      <c r="I105" s="90"/>
      <c r="J105" s="1186"/>
      <c r="K105" s="90"/>
      <c r="L105" s="90"/>
      <c r="M105" s="90"/>
      <c r="N105" s="90"/>
      <c r="O105" s="1185"/>
      <c r="P105" s="90"/>
      <c r="Q105" s="1186"/>
      <c r="R105" s="90"/>
      <c r="S105" s="79"/>
      <c r="T105" s="277"/>
    </row>
    <row r="106" spans="1:20" s="91" customFormat="1" ht="15.75" customHeight="1" thickBot="1">
      <c r="A106" s="80"/>
      <c r="B106" s="89"/>
      <c r="C106" s="418">
        <f>SUM(C9:C100)</f>
        <v>400000000.22999954</v>
      </c>
      <c r="D106" s="419"/>
      <c r="E106" s="1187">
        <f>SUM(E9:E100)</f>
        <v>0</v>
      </c>
      <c r="F106" s="419"/>
      <c r="G106" s="1187">
        <f>SUM(G9:G100)</f>
        <v>-400000000.23000002</v>
      </c>
      <c r="H106" s="1187">
        <f>SUM(H9:H103)</f>
        <v>-6011986</v>
      </c>
      <c r="I106" s="90"/>
      <c r="J106" s="127"/>
      <c r="K106" s="90"/>
      <c r="L106" s="90"/>
      <c r="M106" s="90"/>
      <c r="N106" s="90"/>
      <c r="O106" s="126">
        <f>SUM(O9:O100)</f>
        <v>-0.77000045776367188</v>
      </c>
      <c r="P106" s="90"/>
      <c r="Q106" s="127">
        <f>SUM(Q9:Q100)</f>
        <v>0</v>
      </c>
      <c r="R106" s="90"/>
      <c r="S106" s="127">
        <f>SUM(S9:S100)</f>
        <v>0.76999998092651367</v>
      </c>
      <c r="T106" s="1187">
        <f>SUM(T9:T103)</f>
        <v>-9567092.5500000715</v>
      </c>
    </row>
    <row r="107" spans="1:20" s="97" customFormat="1" ht="15.75" customHeight="1" thickTop="1">
      <c r="A107" s="94"/>
      <c r="B107" s="95"/>
      <c r="C107" s="124"/>
      <c r="D107" s="96"/>
      <c r="E107" s="96"/>
      <c r="F107" s="96"/>
      <c r="G107" s="79"/>
      <c r="H107" s="79"/>
      <c r="I107" s="96"/>
      <c r="J107" s="96"/>
      <c r="K107" s="96"/>
      <c r="L107" s="96"/>
      <c r="M107" s="96"/>
      <c r="N107" s="96"/>
      <c r="O107" s="124"/>
      <c r="P107" s="96"/>
      <c r="Q107" s="96"/>
      <c r="R107" s="96"/>
      <c r="S107" s="79"/>
      <c r="T107" s="1220"/>
    </row>
    <row r="109" spans="1:20">
      <c r="A109" s="72" t="s">
        <v>562</v>
      </c>
    </row>
    <row r="110" spans="1:20">
      <c r="A110" s="72"/>
    </row>
    <row r="111" spans="1:20">
      <c r="A111" s="75" t="s">
        <v>555</v>
      </c>
      <c r="H111" s="1233">
        <f>H37</f>
        <v>94724006</v>
      </c>
      <c r="T111" s="1233">
        <f>T37</f>
        <v>127170553</v>
      </c>
    </row>
    <row r="112" spans="1:20">
      <c r="A112" s="75" t="s">
        <v>556</v>
      </c>
      <c r="H112" s="1233">
        <f>H30</f>
        <v>6945660</v>
      </c>
      <c r="T112" s="1233">
        <f>T30</f>
        <v>12568648</v>
      </c>
    </row>
    <row r="113" spans="1:20">
      <c r="A113" s="75" t="s">
        <v>557</v>
      </c>
      <c r="H113" s="1233">
        <f>H17</f>
        <v>0</v>
      </c>
      <c r="T113" s="1233">
        <f>T17</f>
        <v>0</v>
      </c>
    </row>
    <row r="114" spans="1:20">
      <c r="A114" s="75" t="s">
        <v>558</v>
      </c>
      <c r="H114" s="1233">
        <f>H78</f>
        <v>6274109</v>
      </c>
      <c r="T114" s="1233">
        <f>T78</f>
        <v>7901515.4400000004</v>
      </c>
    </row>
    <row r="115" spans="1:20">
      <c r="A115" s="75" t="s">
        <v>559</v>
      </c>
      <c r="H115" s="1233">
        <f>H38</f>
        <v>4553.97</v>
      </c>
      <c r="T115" s="1233">
        <f>T38</f>
        <v>4553.97</v>
      </c>
    </row>
    <row r="116" spans="1:20">
      <c r="A116" s="75" t="s">
        <v>560</v>
      </c>
      <c r="H116" s="1233">
        <f>H18</f>
        <v>0</v>
      </c>
      <c r="T116" s="1233">
        <f>T18</f>
        <v>0</v>
      </c>
    </row>
    <row r="117" spans="1:20">
      <c r="A117" s="75" t="s">
        <v>561</v>
      </c>
      <c r="H117" s="1233">
        <f>H13</f>
        <v>-5829700</v>
      </c>
      <c r="T117" s="1233">
        <f>T13</f>
        <v>-17110486</v>
      </c>
    </row>
    <row r="118" spans="1:20" ht="16.5" thickBot="1">
      <c r="H118" s="1246">
        <f>SUM(H111:H117)</f>
        <v>102118628.97</v>
      </c>
      <c r="T118" s="1192">
        <f>SUM(T111:T117)</f>
        <v>130534784.41</v>
      </c>
    </row>
    <row r="119" spans="1:20" ht="16.5" thickTop="1">
      <c r="T119" s="74"/>
    </row>
    <row r="120" spans="1:20">
      <c r="A120" s="72" t="s">
        <v>563</v>
      </c>
      <c r="T120" s="74"/>
    </row>
    <row r="121" spans="1:20">
      <c r="T121" s="74"/>
    </row>
    <row r="122" spans="1:20">
      <c r="A122" s="75" t="s">
        <v>564</v>
      </c>
      <c r="H122" s="1236">
        <f>H10</f>
        <v>117505011</v>
      </c>
      <c r="T122" s="1238">
        <f>T10</f>
        <v>122671054</v>
      </c>
    </row>
    <row r="123" spans="1:20">
      <c r="A123" s="75" t="s">
        <v>565</v>
      </c>
      <c r="H123" s="1238">
        <f>H14</f>
        <v>-19072452</v>
      </c>
      <c r="T123" s="1238">
        <f>T14</f>
        <v>-42431955</v>
      </c>
    </row>
    <row r="124" spans="1:20">
      <c r="A124" s="75" t="s">
        <v>566</v>
      </c>
      <c r="H124" s="1238">
        <f>H19</f>
        <v>-1442223765</v>
      </c>
      <c r="T124" s="1238">
        <f>T19</f>
        <v>-1364128518</v>
      </c>
    </row>
    <row r="125" spans="1:20">
      <c r="A125" s="75" t="s">
        <v>567</v>
      </c>
      <c r="H125" s="1238">
        <f>H11+H65</f>
        <v>0</v>
      </c>
      <c r="T125" s="1238">
        <f>T11+T65</f>
        <v>0</v>
      </c>
    </row>
    <row r="126" spans="1:20">
      <c r="A126" s="75" t="s">
        <v>568</v>
      </c>
      <c r="H126" s="1238">
        <f>H21</f>
        <v>0</v>
      </c>
      <c r="T126" s="1238">
        <f>T21</f>
        <v>11358365</v>
      </c>
    </row>
    <row r="127" spans="1:20">
      <c r="A127" s="75" t="s">
        <v>569</v>
      </c>
      <c r="H127" s="1238">
        <f>H24</f>
        <v>0</v>
      </c>
      <c r="T127" s="1238">
        <f>T24</f>
        <v>979097661</v>
      </c>
    </row>
    <row r="128" spans="1:20">
      <c r="A128" s="75" t="s">
        <v>570</v>
      </c>
      <c r="H128" s="1238">
        <f>H26</f>
        <v>-112579852</v>
      </c>
      <c r="T128" s="1238">
        <f>T26</f>
        <v>-1345157567</v>
      </c>
    </row>
    <row r="129" spans="1:20">
      <c r="A129" s="75" t="s">
        <v>571</v>
      </c>
      <c r="H129" s="1238">
        <f>H46</f>
        <v>44992161</v>
      </c>
      <c r="T129" s="1238">
        <f>T46</f>
        <v>53714193</v>
      </c>
    </row>
    <row r="130" spans="1:20" ht="16.5" thickBot="1">
      <c r="H130" s="1246">
        <f>SUM(H122:H129)</f>
        <v>-1411378897</v>
      </c>
      <c r="T130" s="1192">
        <f>SUM(T122:T129)</f>
        <v>-1584876767</v>
      </c>
    </row>
    <row r="131" spans="1:20" ht="16.5" thickTop="1">
      <c r="T131" s="74"/>
    </row>
    <row r="132" spans="1:20">
      <c r="T132" s="74"/>
    </row>
    <row r="133" spans="1:20">
      <c r="A133" s="72" t="s">
        <v>572</v>
      </c>
      <c r="T133" s="74"/>
    </row>
    <row r="134" spans="1:20">
      <c r="T134" s="74"/>
    </row>
    <row r="135" spans="1:20">
      <c r="A135" s="75" t="s">
        <v>578</v>
      </c>
      <c r="H135" s="1242"/>
      <c r="T135" s="1242"/>
    </row>
    <row r="136" spans="1:20">
      <c r="A136" s="75" t="s">
        <v>573</v>
      </c>
      <c r="H136" s="1242">
        <f>H56</f>
        <v>5393533638</v>
      </c>
      <c r="T136" s="1242">
        <f>T56</f>
        <v>5464398582</v>
      </c>
    </row>
    <row r="137" spans="1:20">
      <c r="A137" s="75" t="s">
        <v>579</v>
      </c>
      <c r="H137" s="1242"/>
      <c r="T137" s="1242"/>
    </row>
    <row r="138" spans="1:20">
      <c r="A138" s="75" t="s">
        <v>574</v>
      </c>
      <c r="H138" s="1242">
        <f>H59</f>
        <v>256655071</v>
      </c>
      <c r="T138" s="1242">
        <f>T59</f>
        <v>17899034</v>
      </c>
    </row>
    <row r="139" spans="1:20">
      <c r="A139" s="75" t="s">
        <v>575</v>
      </c>
      <c r="H139" s="1242">
        <f>H67</f>
        <v>0</v>
      </c>
      <c r="T139" s="1242">
        <f>T67</f>
        <v>124307318</v>
      </c>
    </row>
    <row r="140" spans="1:20">
      <c r="A140" s="75" t="s">
        <v>576</v>
      </c>
      <c r="H140" s="1242">
        <f>H80+H72+H98</f>
        <v>-1172528848.1529999</v>
      </c>
      <c r="T140" s="1242">
        <f>T80+T72+T98</f>
        <v>-1259890510.813</v>
      </c>
    </row>
    <row r="141" spans="1:20" ht="16.5" thickBot="1">
      <c r="H141" s="1246">
        <f>SUM(H135:H140)</f>
        <v>4477659860.8470001</v>
      </c>
      <c r="T141" s="1192">
        <f>SUM(T135:T140)</f>
        <v>4346714423.1870003</v>
      </c>
    </row>
    <row r="142" spans="1:20" ht="16.5" thickTop="1"/>
  </sheetData>
  <mergeCells count="3">
    <mergeCell ref="A2:S2"/>
    <mergeCell ref="C4:G4"/>
    <mergeCell ref="O4:S4"/>
  </mergeCells>
  <pageMargins left="0.45" right="0.45" top="0.75" bottom="0.75" header="0.3" footer="0.3"/>
  <pageSetup scale="88" orientation="landscape" r:id="rId1"/>
  <rowBreaks count="1" manualBreakCount="1">
    <brk id="103" max="10" man="1"/>
  </rowBreaks>
  <legacyDrawing r:id="rId2"/>
</worksheet>
</file>

<file path=xl/worksheets/sheet42.xml><?xml version="1.0" encoding="utf-8"?>
<worksheet xmlns="http://schemas.openxmlformats.org/spreadsheetml/2006/main" xmlns:r="http://schemas.openxmlformats.org/officeDocument/2006/relationships">
  <dimension ref="A2:M57"/>
  <sheetViews>
    <sheetView view="pageBreakPreview" zoomScaleSheetLayoutView="100" workbookViewId="0">
      <selection activeCell="C8" sqref="C8"/>
    </sheetView>
  </sheetViews>
  <sheetFormatPr defaultRowHeight="15"/>
  <cols>
    <col min="1" max="1" width="28.5703125" style="187" bestFit="1" customWidth="1"/>
    <col min="2" max="2" width="14.140625" style="189" customWidth="1"/>
    <col min="3" max="3" width="15" style="189" bestFit="1" customWidth="1"/>
    <col min="4" max="4" width="12.7109375" style="189" customWidth="1"/>
    <col min="5" max="5" width="13" style="189" customWidth="1"/>
    <col min="6" max="6" width="14" style="189" bestFit="1" customWidth="1"/>
    <col min="7" max="7" width="14" style="189" customWidth="1"/>
    <col min="8" max="8" width="0.7109375" style="439" customWidth="1"/>
    <col min="9" max="9" width="14.7109375" style="189" customWidth="1"/>
    <col min="10" max="10" width="12.7109375" style="189" bestFit="1" customWidth="1"/>
    <col min="11" max="11" width="0.7109375" style="187" customWidth="1"/>
    <col min="12" max="13" width="12.7109375" style="189" bestFit="1" customWidth="1"/>
    <col min="14" max="16384" width="9.140625" style="187"/>
  </cols>
  <sheetData>
    <row r="2" spans="1:13">
      <c r="I2" s="1780" t="s">
        <v>211</v>
      </c>
      <c r="J2" s="1780"/>
      <c r="L2" s="1780" t="s">
        <v>13</v>
      </c>
      <c r="M2" s="1780"/>
    </row>
    <row r="3" spans="1:13">
      <c r="B3" s="188" t="s">
        <v>211</v>
      </c>
      <c r="C3" s="188" t="s">
        <v>212</v>
      </c>
      <c r="D3" s="188" t="s">
        <v>213</v>
      </c>
      <c r="E3" s="188" t="s">
        <v>214</v>
      </c>
      <c r="F3" s="188" t="s">
        <v>192</v>
      </c>
      <c r="G3" s="188" t="s">
        <v>23</v>
      </c>
      <c r="H3" s="438"/>
      <c r="I3" s="188" t="str">
        <f>BS!E7</f>
        <v>30.09.2014</v>
      </c>
      <c r="J3" s="188" t="str">
        <f>BS!G7</f>
        <v>30.09.2013</v>
      </c>
      <c r="L3" s="188" t="str">
        <f>BS!K7</f>
        <v>30.09.2014</v>
      </c>
      <c r="M3" s="188" t="str">
        <f>BS!M7</f>
        <v>30.09.2013</v>
      </c>
    </row>
    <row r="4" spans="1:13">
      <c r="B4" s="188" t="s">
        <v>19</v>
      </c>
      <c r="C4" s="188" t="s">
        <v>19</v>
      </c>
      <c r="D4" s="188" t="s">
        <v>19</v>
      </c>
      <c r="E4" s="188" t="s">
        <v>19</v>
      </c>
      <c r="F4" s="188" t="s">
        <v>19</v>
      </c>
      <c r="G4" s="188" t="s">
        <v>19</v>
      </c>
      <c r="H4" s="438"/>
      <c r="I4" s="188" t="s">
        <v>14</v>
      </c>
      <c r="J4" s="188" t="s">
        <v>14</v>
      </c>
      <c r="L4" s="188" t="s">
        <v>14</v>
      </c>
      <c r="M4" s="188" t="s">
        <v>14</v>
      </c>
    </row>
    <row r="5" spans="1:13">
      <c r="A5" s="433" t="s">
        <v>210</v>
      </c>
    </row>
    <row r="6" spans="1:13">
      <c r="A6" s="434" t="s">
        <v>502</v>
      </c>
      <c r="B6" s="189">
        <v>42769766.199999996</v>
      </c>
      <c r="G6" s="189">
        <f>SUM(B6:F6)</f>
        <v>42769766.199999996</v>
      </c>
      <c r="I6" s="189">
        <f>ROUND(B6/1000000,0)</f>
        <v>43</v>
      </c>
      <c r="J6" s="189">
        <v>85</v>
      </c>
      <c r="L6" s="189">
        <f>ROUND(G6/1000000,0)</f>
        <v>43</v>
      </c>
      <c r="M6" s="189">
        <v>85</v>
      </c>
    </row>
    <row r="7" spans="1:13">
      <c r="A7" s="434" t="s">
        <v>503</v>
      </c>
      <c r="B7" s="189">
        <f>100000000+225000000</f>
        <v>325000000</v>
      </c>
      <c r="G7" s="189">
        <f t="shared" ref="G7:G10" si="0">SUM(B7:F7)</f>
        <v>325000000</v>
      </c>
      <c r="I7" s="189">
        <f t="shared" ref="I7:I10" si="1">ROUND(B7/1000000,0)</f>
        <v>325</v>
      </c>
      <c r="J7" s="189">
        <v>225</v>
      </c>
      <c r="L7" s="189">
        <f>ROUND(G7/1000000,0)</f>
        <v>325</v>
      </c>
      <c r="M7" s="189">
        <v>225</v>
      </c>
    </row>
    <row r="8" spans="1:13">
      <c r="A8" s="434" t="s">
        <v>504</v>
      </c>
      <c r="B8" s="189">
        <v>8900000</v>
      </c>
      <c r="G8" s="189">
        <f t="shared" si="0"/>
        <v>8900000</v>
      </c>
      <c r="I8" s="189">
        <f t="shared" si="1"/>
        <v>9</v>
      </c>
      <c r="J8" s="189">
        <v>9</v>
      </c>
      <c r="L8" s="189">
        <f>ROUND(G8/1000000,0)</f>
        <v>9</v>
      </c>
      <c r="M8" s="189">
        <v>9</v>
      </c>
    </row>
    <row r="9" spans="1:13">
      <c r="A9" s="434" t="s">
        <v>505</v>
      </c>
      <c r="B9" s="189">
        <v>113230188.505</v>
      </c>
      <c r="G9" s="189">
        <f t="shared" si="0"/>
        <v>113230188.505</v>
      </c>
      <c r="I9" s="189">
        <f t="shared" si="1"/>
        <v>113</v>
      </c>
      <c r="J9" s="189">
        <v>31</v>
      </c>
      <c r="L9" s="189">
        <f>ROUND(G9/1000000,0)</f>
        <v>113</v>
      </c>
      <c r="M9" s="189">
        <v>31</v>
      </c>
    </row>
    <row r="10" spans="1:13">
      <c r="A10" s="434" t="s">
        <v>438</v>
      </c>
      <c r="B10" s="189">
        <f>G37+G48+G53</f>
        <v>5059495000</v>
      </c>
      <c r="G10" s="189">
        <f t="shared" si="0"/>
        <v>5059495000</v>
      </c>
      <c r="I10" s="189">
        <f t="shared" si="1"/>
        <v>5059</v>
      </c>
      <c r="J10" s="189">
        <v>1952</v>
      </c>
      <c r="L10" s="189">
        <f>ROUND(G10/1000000,0)</f>
        <v>5059</v>
      </c>
      <c r="M10" s="189">
        <v>1952</v>
      </c>
    </row>
    <row r="11" spans="1:13" ht="15.75" thickBot="1">
      <c r="B11" s="435">
        <f>SUM(B5:B10)</f>
        <v>5549394954.7049999</v>
      </c>
      <c r="C11" s="435">
        <f t="shared" ref="C11:I11" si="2">SUM(C5:C10)</f>
        <v>0</v>
      </c>
      <c r="D11" s="435">
        <f t="shared" si="2"/>
        <v>0</v>
      </c>
      <c r="E11" s="435">
        <f t="shared" si="2"/>
        <v>0</v>
      </c>
      <c r="F11" s="435">
        <f t="shared" si="2"/>
        <v>0</v>
      </c>
      <c r="G11" s="435">
        <f t="shared" si="2"/>
        <v>5549394954.7049999</v>
      </c>
      <c r="I11" s="435">
        <f t="shared" si="2"/>
        <v>5549</v>
      </c>
      <c r="J11" s="435">
        <f t="shared" ref="J11" si="3">SUM(J5:J10)</f>
        <v>2302</v>
      </c>
      <c r="L11" s="435">
        <f>SUM(L5:L10)</f>
        <v>5549</v>
      </c>
      <c r="M11" s="435">
        <f t="shared" ref="M11" si="4">SUM(M5:M10)</f>
        <v>2302</v>
      </c>
    </row>
    <row r="12" spans="1:13" ht="15.75" thickTop="1"/>
    <row r="15" spans="1:13">
      <c r="A15" s="433" t="s">
        <v>457</v>
      </c>
    </row>
    <row r="16" spans="1:13">
      <c r="A16" s="433" t="s">
        <v>506</v>
      </c>
    </row>
    <row r="17" spans="1:13">
      <c r="A17" s="434" t="s">
        <v>507</v>
      </c>
      <c r="C17" s="189">
        <v>516573756</v>
      </c>
      <c r="D17" s="189">
        <v>498416062</v>
      </c>
      <c r="G17" s="189">
        <f>SUM(B17:F17)</f>
        <v>1014989818</v>
      </c>
      <c r="I17" s="189">
        <f>ROUND(B17/1000000,0)</f>
        <v>0</v>
      </c>
      <c r="J17" s="189">
        <v>0</v>
      </c>
      <c r="L17" s="189">
        <f>ROUND(G17/1000000,0)</f>
        <v>1015</v>
      </c>
      <c r="M17" s="189">
        <v>611</v>
      </c>
    </row>
    <row r="18" spans="1:13">
      <c r="A18" s="434" t="s">
        <v>508</v>
      </c>
      <c r="B18" s="189">
        <f>300000000-30134228</f>
        <v>269865772</v>
      </c>
      <c r="F18" s="189">
        <v>11316730</v>
      </c>
      <c r="G18" s="189">
        <f>SUM(B18:F18)</f>
        <v>281182502</v>
      </c>
      <c r="I18" s="189">
        <f t="shared" ref="I18" si="5">ROUND(B18/1000000,0)</f>
        <v>270</v>
      </c>
      <c r="J18" s="189">
        <v>38</v>
      </c>
      <c r="L18" s="189">
        <f>ROUND(G18/1000000,0)</f>
        <v>281</v>
      </c>
      <c r="M18" s="189">
        <v>55</v>
      </c>
    </row>
    <row r="19" spans="1:13">
      <c r="A19" s="434"/>
      <c r="B19" s="436">
        <f>SUM(B17:B18)</f>
        <v>269865772</v>
      </c>
      <c r="C19" s="436">
        <f t="shared" ref="C19:I19" si="6">SUM(C17:C18)</f>
        <v>516573756</v>
      </c>
      <c r="D19" s="436">
        <f t="shared" si="6"/>
        <v>498416062</v>
      </c>
      <c r="E19" s="436">
        <f t="shared" si="6"/>
        <v>0</v>
      </c>
      <c r="F19" s="436">
        <f t="shared" si="6"/>
        <v>11316730</v>
      </c>
      <c r="G19" s="436">
        <f t="shared" si="6"/>
        <v>1296172320</v>
      </c>
      <c r="I19" s="436">
        <f t="shared" si="6"/>
        <v>270</v>
      </c>
      <c r="J19" s="436">
        <f t="shared" ref="J19" si="7">SUM(J17:J18)</f>
        <v>38</v>
      </c>
      <c r="L19" s="436">
        <f>SUM(L17:L18)</f>
        <v>1296</v>
      </c>
      <c r="M19" s="436">
        <f t="shared" ref="M19" si="8">SUM(M17:M18)</f>
        <v>666</v>
      </c>
    </row>
    <row r="20" spans="1:13">
      <c r="A20" s="434"/>
    </row>
    <row r="21" spans="1:13">
      <c r="A21" s="433" t="s">
        <v>509</v>
      </c>
    </row>
    <row r="22" spans="1:13">
      <c r="A22" s="434" t="s">
        <v>510</v>
      </c>
      <c r="B22" s="189">
        <v>419054721.94999999</v>
      </c>
      <c r="G22" s="189">
        <f>SUM(B22:F22)</f>
        <v>419054721.94999999</v>
      </c>
      <c r="I22" s="189">
        <f t="shared" ref="I22" si="9">ROUND(B22/1000000,0)</f>
        <v>419</v>
      </c>
      <c r="J22" s="189">
        <v>40</v>
      </c>
      <c r="L22" s="189">
        <f>ROUND(G22/1000000,0)</f>
        <v>419</v>
      </c>
      <c r="M22" s="189">
        <v>40</v>
      </c>
    </row>
    <row r="23" spans="1:13">
      <c r="A23" s="190"/>
      <c r="B23" s="436">
        <f>SUM(B22)</f>
        <v>419054721.94999999</v>
      </c>
      <c r="C23" s="436">
        <f t="shared" ref="C23:I23" si="10">SUM(C22)</f>
        <v>0</v>
      </c>
      <c r="D23" s="436">
        <f t="shared" si="10"/>
        <v>0</v>
      </c>
      <c r="E23" s="436">
        <f t="shared" si="10"/>
        <v>0</v>
      </c>
      <c r="F23" s="436">
        <f t="shared" si="10"/>
        <v>0</v>
      </c>
      <c r="G23" s="436">
        <f t="shared" si="10"/>
        <v>419054721.94999999</v>
      </c>
      <c r="I23" s="436">
        <f t="shared" si="10"/>
        <v>419</v>
      </c>
      <c r="J23" s="436">
        <f t="shared" ref="J23" si="11">SUM(J22)</f>
        <v>40</v>
      </c>
      <c r="L23" s="436">
        <f>SUM(L22)</f>
        <v>419</v>
      </c>
      <c r="M23" s="436">
        <f t="shared" ref="M23" si="12">SUM(M22)</f>
        <v>40</v>
      </c>
    </row>
    <row r="24" spans="1:13" ht="15.75" thickBot="1">
      <c r="A24" s="437" t="s">
        <v>23</v>
      </c>
      <c r="B24" s="435">
        <f>B19+B23</f>
        <v>688920493.95000005</v>
      </c>
      <c r="C24" s="435">
        <f t="shared" ref="C24:I24" si="13">C19+C23</f>
        <v>516573756</v>
      </c>
      <c r="D24" s="435">
        <f t="shared" si="13"/>
        <v>498416062</v>
      </c>
      <c r="E24" s="435">
        <f t="shared" si="13"/>
        <v>0</v>
      </c>
      <c r="F24" s="435">
        <f t="shared" si="13"/>
        <v>11316730</v>
      </c>
      <c r="G24" s="435">
        <f t="shared" si="13"/>
        <v>1715227041.95</v>
      </c>
      <c r="I24" s="435">
        <f t="shared" si="13"/>
        <v>689</v>
      </c>
      <c r="J24" s="435">
        <f t="shared" ref="J24" si="14">J19+J23</f>
        <v>78</v>
      </c>
      <c r="L24" s="435">
        <f>L19+L23</f>
        <v>1715</v>
      </c>
      <c r="M24" s="435">
        <f t="shared" ref="M24" si="15">M19+M23</f>
        <v>706</v>
      </c>
    </row>
    <row r="25" spans="1:13" ht="15.75" thickTop="1"/>
    <row r="27" spans="1:13">
      <c r="B27" s="189">
        <v>221581032</v>
      </c>
      <c r="C27" s="189">
        <f>300000000-B27</f>
        <v>78418968</v>
      </c>
    </row>
    <row r="28" spans="1:13">
      <c r="A28" t="s">
        <v>515</v>
      </c>
      <c r="B28" s="1178">
        <v>41820</v>
      </c>
      <c r="C28" s="446">
        <v>14500000</v>
      </c>
      <c r="D28" s="446">
        <v>500000</v>
      </c>
      <c r="E28" s="446">
        <f t="shared" ref="E28:E36" si="16">C28-D28</f>
        <v>14000000</v>
      </c>
      <c r="F28" s="447">
        <v>132.44999999999999</v>
      </c>
      <c r="G28" s="446">
        <f>D28*F28</f>
        <v>66224999.999999993</v>
      </c>
    </row>
    <row r="29" spans="1:13">
      <c r="B29" s="1178">
        <v>41851</v>
      </c>
      <c r="C29" s="446">
        <f>E28</f>
        <v>14000000</v>
      </c>
      <c r="D29" s="446">
        <v>1750000</v>
      </c>
      <c r="E29" s="446">
        <f t="shared" si="16"/>
        <v>12250000</v>
      </c>
      <c r="F29" s="447">
        <v>133.04</v>
      </c>
      <c r="G29" s="446">
        <f t="shared" ref="G29:G36" si="17">D29*F29</f>
        <v>232820000</v>
      </c>
    </row>
    <row r="30" spans="1:13">
      <c r="B30" s="1178">
        <v>41882</v>
      </c>
      <c r="C30" s="446">
        <f t="shared" ref="C30:C36" si="18">E29</f>
        <v>12250000</v>
      </c>
      <c r="D30" s="446">
        <f>D29</f>
        <v>1750000</v>
      </c>
      <c r="E30" s="446">
        <f t="shared" si="16"/>
        <v>10500000</v>
      </c>
      <c r="F30" s="447">
        <v>133.47</v>
      </c>
      <c r="G30" s="446">
        <f t="shared" si="17"/>
        <v>233572500</v>
      </c>
    </row>
    <row r="31" spans="1:13">
      <c r="B31" s="443">
        <v>41912</v>
      </c>
      <c r="C31" s="440">
        <f t="shared" si="18"/>
        <v>10500000</v>
      </c>
      <c r="D31" s="440">
        <f t="shared" ref="D31:D36" si="19">D30</f>
        <v>1750000</v>
      </c>
      <c r="E31" s="440">
        <f t="shared" si="16"/>
        <v>8750000</v>
      </c>
      <c r="F31" s="441">
        <v>133.97</v>
      </c>
      <c r="G31" s="440">
        <f t="shared" si="17"/>
        <v>234447500</v>
      </c>
    </row>
    <row r="32" spans="1:13">
      <c r="B32" s="443">
        <v>41943</v>
      </c>
      <c r="C32" s="440">
        <f t="shared" si="18"/>
        <v>8750000</v>
      </c>
      <c r="D32" s="440">
        <f t="shared" si="19"/>
        <v>1750000</v>
      </c>
      <c r="E32" s="440">
        <f t="shared" si="16"/>
        <v>7000000</v>
      </c>
      <c r="F32" s="441">
        <v>134.38999999999999</v>
      </c>
      <c r="G32" s="440">
        <f t="shared" si="17"/>
        <v>235182499.99999997</v>
      </c>
    </row>
    <row r="33" spans="1:7">
      <c r="B33" s="443">
        <v>41973</v>
      </c>
      <c r="C33" s="440">
        <f t="shared" si="18"/>
        <v>7000000</v>
      </c>
      <c r="D33" s="440">
        <f t="shared" si="19"/>
        <v>1750000</v>
      </c>
      <c r="E33" s="440">
        <f t="shared" si="16"/>
        <v>5250000</v>
      </c>
      <c r="F33" s="441">
        <v>134.9</v>
      </c>
      <c r="G33" s="440">
        <f t="shared" si="17"/>
        <v>236075000</v>
      </c>
    </row>
    <row r="34" spans="1:7">
      <c r="B34" s="443">
        <v>42004</v>
      </c>
      <c r="C34" s="440">
        <f t="shared" si="18"/>
        <v>5250000</v>
      </c>
      <c r="D34" s="440">
        <f t="shared" si="19"/>
        <v>1750000</v>
      </c>
      <c r="E34" s="440">
        <f t="shared" si="16"/>
        <v>3500000</v>
      </c>
      <c r="F34" s="441">
        <v>135.37</v>
      </c>
      <c r="G34" s="440">
        <f t="shared" si="17"/>
        <v>236897500</v>
      </c>
    </row>
    <row r="35" spans="1:7">
      <c r="B35" s="443">
        <v>42035</v>
      </c>
      <c r="C35" s="440">
        <f t="shared" si="18"/>
        <v>3500000</v>
      </c>
      <c r="D35" s="440">
        <f t="shared" si="19"/>
        <v>1750000</v>
      </c>
      <c r="E35" s="440">
        <f t="shared" si="16"/>
        <v>1750000</v>
      </c>
      <c r="F35" s="441">
        <v>135.84</v>
      </c>
      <c r="G35" s="440">
        <f t="shared" si="17"/>
        <v>237720000</v>
      </c>
    </row>
    <row r="36" spans="1:7">
      <c r="B36" s="443">
        <v>42063</v>
      </c>
      <c r="C36" s="440">
        <f t="shared" si="18"/>
        <v>1750000</v>
      </c>
      <c r="D36" s="440">
        <f t="shared" si="19"/>
        <v>1750000</v>
      </c>
      <c r="E36" s="440">
        <f t="shared" si="16"/>
        <v>0</v>
      </c>
      <c r="F36" s="441">
        <v>136.35</v>
      </c>
      <c r="G36" s="440">
        <f t="shared" si="17"/>
        <v>238612500</v>
      </c>
    </row>
    <row r="37" spans="1:7" ht="15.75" thickBot="1">
      <c r="B37"/>
      <c r="C37" s="440"/>
      <c r="D37" s="440"/>
      <c r="E37" s="440"/>
      <c r="F37" s="440"/>
      <c r="G37" s="442">
        <f>SUM(G31:G36)</f>
        <v>1418935000</v>
      </c>
    </row>
    <row r="39" spans="1:7">
      <c r="A39" s="187" t="s">
        <v>514</v>
      </c>
      <c r="B39" s="443">
        <v>42086</v>
      </c>
      <c r="C39" s="189">
        <v>15750000</v>
      </c>
      <c r="D39" s="189">
        <f>D36</f>
        <v>1750000</v>
      </c>
      <c r="E39" s="440">
        <f t="shared" ref="E39:E47" si="20">C39-D39</f>
        <v>14000000</v>
      </c>
      <c r="F39" s="441">
        <v>137.68</v>
      </c>
      <c r="G39" s="440">
        <f>D39*F39</f>
        <v>240940000</v>
      </c>
    </row>
    <row r="40" spans="1:7">
      <c r="B40" s="443">
        <v>42117</v>
      </c>
      <c r="C40" s="440">
        <f>E39</f>
        <v>14000000</v>
      </c>
      <c r="D40" s="440">
        <f t="shared" ref="D40:D47" si="21">D39</f>
        <v>1750000</v>
      </c>
      <c r="E40" s="440">
        <f t="shared" si="20"/>
        <v>12250000</v>
      </c>
      <c r="F40" s="441">
        <v>138.28</v>
      </c>
      <c r="G40" s="440">
        <f t="shared" ref="G40:G47" si="22">D40*F40</f>
        <v>241990000</v>
      </c>
    </row>
    <row r="41" spans="1:7">
      <c r="B41" s="443">
        <v>42146</v>
      </c>
      <c r="C41" s="440">
        <f t="shared" ref="C41:C47" si="23">E40</f>
        <v>12250000</v>
      </c>
      <c r="D41" s="440">
        <f t="shared" si="21"/>
        <v>1750000</v>
      </c>
      <c r="E41" s="440">
        <f t="shared" si="20"/>
        <v>10500000</v>
      </c>
      <c r="F41" s="441">
        <v>138.85</v>
      </c>
      <c r="G41" s="440">
        <f t="shared" si="22"/>
        <v>242987500</v>
      </c>
    </row>
    <row r="42" spans="1:7">
      <c r="B42" s="443">
        <v>42178</v>
      </c>
      <c r="C42" s="440">
        <f t="shared" si="23"/>
        <v>10500000</v>
      </c>
      <c r="D42" s="440">
        <f t="shared" si="21"/>
        <v>1750000</v>
      </c>
      <c r="E42" s="440">
        <f t="shared" si="20"/>
        <v>8750000</v>
      </c>
      <c r="F42" s="441">
        <v>139.47</v>
      </c>
      <c r="G42" s="440">
        <f t="shared" si="22"/>
        <v>244072500</v>
      </c>
    </row>
    <row r="43" spans="1:7">
      <c r="B43" s="443">
        <v>42208</v>
      </c>
      <c r="C43" s="440">
        <f t="shared" si="23"/>
        <v>8750000</v>
      </c>
      <c r="D43" s="440">
        <f t="shared" si="21"/>
        <v>1750000</v>
      </c>
      <c r="E43" s="440">
        <f t="shared" si="20"/>
        <v>7000000</v>
      </c>
      <c r="F43" s="441">
        <v>140.06</v>
      </c>
      <c r="G43" s="440">
        <f t="shared" si="22"/>
        <v>245105000</v>
      </c>
    </row>
    <row r="44" spans="1:7">
      <c r="B44" s="443">
        <v>42238</v>
      </c>
      <c r="C44" s="440">
        <f t="shared" si="23"/>
        <v>7000000</v>
      </c>
      <c r="D44" s="440">
        <f t="shared" si="21"/>
        <v>1750000</v>
      </c>
      <c r="E44" s="440">
        <f t="shared" si="20"/>
        <v>5250000</v>
      </c>
      <c r="F44" s="441">
        <v>140.63999999999999</v>
      </c>
      <c r="G44" s="440">
        <f t="shared" si="22"/>
        <v>246119999.99999997</v>
      </c>
    </row>
    <row r="45" spans="1:7">
      <c r="B45" s="443">
        <v>42270</v>
      </c>
      <c r="C45" s="440">
        <f t="shared" si="23"/>
        <v>5250000</v>
      </c>
      <c r="D45" s="440">
        <f t="shared" si="21"/>
        <v>1750000</v>
      </c>
      <c r="E45" s="440">
        <f t="shared" si="20"/>
        <v>3500000</v>
      </c>
      <c r="F45" s="441">
        <v>141.52000000000001</v>
      </c>
      <c r="G45" s="440">
        <f t="shared" si="22"/>
        <v>247660000.00000003</v>
      </c>
    </row>
    <row r="46" spans="1:7">
      <c r="B46" s="443">
        <v>42300</v>
      </c>
      <c r="C46" s="440">
        <f t="shared" si="23"/>
        <v>3500000</v>
      </c>
      <c r="D46" s="440">
        <f t="shared" si="21"/>
        <v>1750000</v>
      </c>
      <c r="E46" s="440">
        <f t="shared" si="20"/>
        <v>1750000</v>
      </c>
      <c r="F46" s="441">
        <v>142.1</v>
      </c>
      <c r="G46" s="440">
        <f t="shared" si="22"/>
        <v>248675000</v>
      </c>
    </row>
    <row r="47" spans="1:7">
      <c r="B47" s="443">
        <v>42331</v>
      </c>
      <c r="C47" s="440">
        <f t="shared" si="23"/>
        <v>1750000</v>
      </c>
      <c r="D47" s="440">
        <f t="shared" si="21"/>
        <v>1750000</v>
      </c>
      <c r="E47" s="440">
        <f t="shared" si="20"/>
        <v>0</v>
      </c>
      <c r="F47" s="441">
        <v>142.71</v>
      </c>
      <c r="G47" s="440">
        <f t="shared" si="22"/>
        <v>249742500</v>
      </c>
    </row>
    <row r="48" spans="1:7" ht="15.75" thickBot="1">
      <c r="G48" s="444">
        <f>SUM(G39:G47)</f>
        <v>2207292500</v>
      </c>
    </row>
    <row r="50" spans="1:9">
      <c r="A50" s="187" t="s">
        <v>514</v>
      </c>
      <c r="B50" s="443">
        <v>42361</v>
      </c>
      <c r="C50" s="189">
        <v>10000000</v>
      </c>
      <c r="D50" s="445">
        <v>1750000</v>
      </c>
      <c r="E50" s="440">
        <f t="shared" ref="E50:E52" si="24">C50-D50</f>
        <v>8250000</v>
      </c>
      <c r="F50" s="189">
        <v>142.32</v>
      </c>
      <c r="G50" s="440">
        <f t="shared" ref="G50:G52" si="25">D50*F50</f>
        <v>249060000</v>
      </c>
    </row>
    <row r="51" spans="1:9">
      <c r="B51" s="443">
        <v>42392</v>
      </c>
      <c r="C51" s="440">
        <f t="shared" ref="C51:C52" si="26">E50</f>
        <v>8250000</v>
      </c>
      <c r="D51" s="445">
        <v>1750000</v>
      </c>
      <c r="E51" s="440">
        <f t="shared" si="24"/>
        <v>6500000</v>
      </c>
      <c r="F51" s="189">
        <v>142.91</v>
      </c>
      <c r="G51" s="440">
        <f t="shared" si="25"/>
        <v>250092500</v>
      </c>
    </row>
    <row r="52" spans="1:9">
      <c r="B52" s="443">
        <v>42423</v>
      </c>
      <c r="C52" s="440">
        <f t="shared" si="26"/>
        <v>6500000</v>
      </c>
      <c r="D52" s="445">
        <f>5985318.06+514681.94</f>
        <v>6500000</v>
      </c>
      <c r="E52" s="440">
        <f t="shared" si="24"/>
        <v>0</v>
      </c>
      <c r="F52" s="189">
        <v>143.71</v>
      </c>
      <c r="G52" s="440">
        <f t="shared" si="25"/>
        <v>934115000</v>
      </c>
    </row>
    <row r="53" spans="1:9" ht="15.75" thickBot="1">
      <c r="G53" s="444">
        <f>SUM(G50:G52)</f>
        <v>1433267500</v>
      </c>
    </row>
    <row r="55" spans="1:9">
      <c r="G55" s="189">
        <f>G37+G48+G53</f>
        <v>5059495000</v>
      </c>
      <c r="I55" s="189">
        <v>5525887500</v>
      </c>
    </row>
    <row r="57" spans="1:9">
      <c r="G57" s="189">
        <f>G30+G55</f>
        <v>5293067500</v>
      </c>
    </row>
  </sheetData>
  <mergeCells count="2">
    <mergeCell ref="I2:J2"/>
    <mergeCell ref="L2:M2"/>
  </mergeCells>
  <pageMargins left="0.45" right="0.45" top="0.75" bottom="0.75" header="0.3" footer="0.3"/>
  <pageSetup paperSize="9" scale="83" orientation="landscape" r:id="rId1"/>
</worksheet>
</file>

<file path=xl/worksheets/sheet43.xml><?xml version="1.0" encoding="utf-8"?>
<worksheet xmlns="http://schemas.openxmlformats.org/spreadsheetml/2006/main" xmlns:r="http://schemas.openxmlformats.org/officeDocument/2006/relationships">
  <dimension ref="A2:G33"/>
  <sheetViews>
    <sheetView workbookViewId="0">
      <selection activeCell="C8" sqref="C8"/>
    </sheetView>
  </sheetViews>
  <sheetFormatPr defaultRowHeight="12.75"/>
  <cols>
    <col min="2" max="3" width="15" bestFit="1" customWidth="1"/>
    <col min="4" max="5" width="11.28515625" bestFit="1" customWidth="1"/>
    <col min="7" max="7" width="15.5703125" bestFit="1" customWidth="1"/>
  </cols>
  <sheetData>
    <row r="2" spans="1:7">
      <c r="A2" s="239" t="s">
        <v>327</v>
      </c>
    </row>
    <row r="3" spans="1:7">
      <c r="G3" s="236" t="s">
        <v>390</v>
      </c>
    </row>
    <row r="4" spans="1:7">
      <c r="B4" s="239">
        <v>2013</v>
      </c>
      <c r="C4" s="239">
        <v>2012</v>
      </c>
      <c r="G4" s="194">
        <v>12009562</v>
      </c>
    </row>
    <row r="5" spans="1:7">
      <c r="A5" s="236" t="s">
        <v>211</v>
      </c>
      <c r="B5" s="282">
        <v>268560785.73000002</v>
      </c>
      <c r="C5" s="282">
        <f>120622405.09+24571563</f>
        <v>145193968.09</v>
      </c>
    </row>
    <row r="6" spans="1:7">
      <c r="A6" s="236" t="s">
        <v>328</v>
      </c>
      <c r="B6" s="192">
        <v>13561601.57</v>
      </c>
      <c r="C6" s="192">
        <v>42345541.780000001</v>
      </c>
      <c r="D6" s="192"/>
      <c r="E6" s="192">
        <f>57792898.58+160000+42595</f>
        <v>57995493.579999998</v>
      </c>
      <c r="F6" s="192"/>
      <c r="G6" s="192">
        <v>2999414398</v>
      </c>
    </row>
    <row r="7" spans="1:7">
      <c r="A7" s="236" t="s">
        <v>329</v>
      </c>
      <c r="B7" s="192">
        <v>10583571</v>
      </c>
      <c r="C7" s="192">
        <v>12460040</v>
      </c>
      <c r="D7" s="192"/>
      <c r="E7" s="192"/>
      <c r="F7" s="192"/>
      <c r="G7" s="192">
        <f>G6+B11-B22-'CF Working - 2014'!F5-'CF Working - 2014'!F6+'CF Working - 2014'!F11</f>
        <v>3274333349.4500003</v>
      </c>
    </row>
    <row r="8" spans="1:7">
      <c r="A8" s="236" t="s">
        <v>213</v>
      </c>
      <c r="B8" s="192"/>
      <c r="C8" s="192"/>
      <c r="D8" s="192"/>
      <c r="E8" s="192"/>
      <c r="F8" s="192"/>
      <c r="G8" s="192">
        <v>2843290167.0458341</v>
      </c>
    </row>
    <row r="9" spans="1:7">
      <c r="A9" s="236" t="s">
        <v>212</v>
      </c>
      <c r="B9" s="192">
        <f>38270+33000</f>
        <v>71270</v>
      </c>
      <c r="C9" s="192">
        <f>46000+39992+49500</f>
        <v>135492</v>
      </c>
      <c r="D9" s="192"/>
      <c r="E9" s="192"/>
      <c r="F9" s="192"/>
      <c r="G9" s="192">
        <f>G7-G8</f>
        <v>431043182.40416622</v>
      </c>
    </row>
    <row r="10" spans="1:7">
      <c r="A10" s="236" t="s">
        <v>214</v>
      </c>
      <c r="B10" s="192">
        <v>8448437</v>
      </c>
      <c r="C10" s="192">
        <v>3886050</v>
      </c>
      <c r="D10" s="192"/>
      <c r="E10" s="192"/>
      <c r="F10" s="192"/>
      <c r="G10" s="192"/>
    </row>
    <row r="11" spans="1:7" ht="13.5" thickBot="1">
      <c r="B11" s="246">
        <f>SUM(B5:B10)</f>
        <v>301225665.30000001</v>
      </c>
      <c r="C11" s="246">
        <f>SUM(C5:C10)</f>
        <v>204021091.87</v>
      </c>
      <c r="D11" s="192"/>
      <c r="E11" s="192"/>
      <c r="F11" s="192"/>
      <c r="G11" s="192" t="e">
        <f>B5-B16-'CF Working - 2014'!C5-'CF Working - 2014'!C6+'CF Working - 2014'!C11</f>
        <v>#VALUE!</v>
      </c>
    </row>
    <row r="12" spans="1:7" ht="13.5" thickTop="1">
      <c r="G12" s="192">
        <v>103525678</v>
      </c>
    </row>
    <row r="13" spans="1:7">
      <c r="G13" s="283" t="e">
        <f>G11-G12</f>
        <v>#VALUE!</v>
      </c>
    </row>
    <row r="14" spans="1:7">
      <c r="A14" s="239" t="s">
        <v>330</v>
      </c>
    </row>
    <row r="15" spans="1:7">
      <c r="B15" s="239">
        <v>2013</v>
      </c>
      <c r="C15" s="239">
        <v>2012</v>
      </c>
      <c r="D15" s="239" t="s">
        <v>332</v>
      </c>
    </row>
    <row r="16" spans="1:7">
      <c r="A16" s="236" t="s">
        <v>211</v>
      </c>
      <c r="B16" s="282">
        <v>12724107</v>
      </c>
      <c r="C16" s="282">
        <v>23957989.52</v>
      </c>
      <c r="D16" s="239"/>
    </row>
    <row r="17" spans="1:7">
      <c r="A17" s="236" t="s">
        <v>328</v>
      </c>
      <c r="B17" s="192">
        <v>13266642.85</v>
      </c>
      <c r="C17" s="192">
        <v>96195766</v>
      </c>
      <c r="D17" s="192">
        <v>26875335</v>
      </c>
      <c r="E17" s="192"/>
      <c r="G17" s="194"/>
    </row>
    <row r="18" spans="1:7">
      <c r="A18" s="236" t="s">
        <v>329</v>
      </c>
      <c r="B18" s="192">
        <v>315964</v>
      </c>
      <c r="C18" s="192">
        <v>140080</v>
      </c>
      <c r="D18" s="192"/>
      <c r="E18" s="192"/>
    </row>
    <row r="19" spans="1:7">
      <c r="A19" s="236" t="s">
        <v>213</v>
      </c>
      <c r="B19" s="192"/>
      <c r="C19" s="192"/>
      <c r="D19" s="192"/>
      <c r="E19" s="192"/>
      <c r="G19" s="283"/>
    </row>
    <row r="20" spans="1:7">
      <c r="A20" s="236" t="s">
        <v>212</v>
      </c>
      <c r="B20" s="192"/>
      <c r="C20" s="192"/>
      <c r="E20" s="192"/>
    </row>
    <row r="21" spans="1:7">
      <c r="A21" s="236" t="s">
        <v>214</v>
      </c>
      <c r="B21" s="192"/>
      <c r="C21" s="192"/>
      <c r="D21" s="192"/>
      <c r="E21" s="192"/>
      <c r="G21" s="283">
        <f>B11-B22-'CF Working - 2014'!F5-'CF Working - 2014'!F6</f>
        <v>274918951.44999999</v>
      </c>
    </row>
    <row r="22" spans="1:7" ht="13.5" thickBot="1">
      <c r="A22" s="236"/>
      <c r="B22" s="246">
        <f>SUM(B16:B21)</f>
        <v>26306713.850000001</v>
      </c>
      <c r="C22" s="246">
        <f>SUM(C16:C21)</f>
        <v>120293835.52</v>
      </c>
      <c r="D22" s="192"/>
      <c r="E22" s="192"/>
    </row>
    <row r="23" spans="1:7" ht="13.5" thickTop="1"/>
    <row r="24" spans="1:7">
      <c r="A24" s="239" t="s">
        <v>331</v>
      </c>
    </row>
    <row r="25" spans="1:7">
      <c r="A25" s="239"/>
      <c r="B25" s="239" t="s">
        <v>422</v>
      </c>
      <c r="C25" s="239" t="s">
        <v>423</v>
      </c>
    </row>
    <row r="26" spans="1:7">
      <c r="A26" s="236" t="s">
        <v>211</v>
      </c>
      <c r="B26" s="192">
        <v>158688936</v>
      </c>
      <c r="C26" s="192">
        <f>150987459+17790754+275892874</f>
        <v>444671087</v>
      </c>
    </row>
    <row r="27" spans="1:7">
      <c r="A27" s="236" t="s">
        <v>328</v>
      </c>
      <c r="B27" s="192">
        <v>5372087</v>
      </c>
      <c r="C27" s="194">
        <v>0</v>
      </c>
    </row>
    <row r="28" spans="1:7">
      <c r="A28" s="236" t="s">
        <v>329</v>
      </c>
      <c r="B28" s="192">
        <v>43426578</v>
      </c>
      <c r="C28" s="192">
        <v>0</v>
      </c>
    </row>
    <row r="29" spans="1:7">
      <c r="A29" s="236" t="s">
        <v>213</v>
      </c>
      <c r="B29" s="192">
        <f>59469+61982</f>
        <v>121451</v>
      </c>
      <c r="C29" s="194">
        <v>0</v>
      </c>
    </row>
    <row r="30" spans="1:7">
      <c r="A30" s="236" t="s">
        <v>212</v>
      </c>
      <c r="B30" s="192">
        <v>2626222.75</v>
      </c>
      <c r="C30" s="192">
        <v>232726</v>
      </c>
    </row>
    <row r="31" spans="1:7">
      <c r="A31" s="236" t="s">
        <v>214</v>
      </c>
      <c r="B31" s="192">
        <v>12545493</v>
      </c>
      <c r="C31" s="194">
        <v>0</v>
      </c>
    </row>
    <row r="32" spans="1:7" ht="13.5" thickBot="1">
      <c r="B32" s="245">
        <f>SUM(B26:B31)</f>
        <v>222780767.75</v>
      </c>
      <c r="C32" s="245">
        <f>SUM(C26:C31)</f>
        <v>444903813</v>
      </c>
    </row>
    <row r="33" ht="13.5" thickTop="1"/>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dimension ref="A3:M18"/>
  <sheetViews>
    <sheetView workbookViewId="0">
      <selection activeCell="C8" sqref="C8"/>
    </sheetView>
  </sheetViews>
  <sheetFormatPr defaultRowHeight="15.75"/>
  <cols>
    <col min="1" max="4" width="9.140625" style="1"/>
    <col min="5" max="5" width="5.85546875" style="1" customWidth="1"/>
    <col min="6" max="9" width="14" style="1" bestFit="1" customWidth="1"/>
    <col min="10" max="11" width="9.140625" style="1"/>
    <col min="12" max="12" width="16.85546875" style="1" bestFit="1" customWidth="1"/>
    <col min="13" max="13" width="14" style="1" bestFit="1" customWidth="1"/>
    <col min="14" max="15" width="16.85546875" style="1" bestFit="1" customWidth="1"/>
    <col min="16" max="16" width="9.140625" style="1"/>
    <col min="17" max="17" width="16.85546875" style="1" bestFit="1" customWidth="1"/>
    <col min="18" max="16384" width="9.140625" style="1"/>
  </cols>
  <sheetData>
    <row r="3" spans="1:13">
      <c r="A3" s="2" t="s">
        <v>406</v>
      </c>
    </row>
    <row r="5" spans="1:13">
      <c r="A5" s="2" t="s">
        <v>15</v>
      </c>
    </row>
    <row r="6" spans="1:13">
      <c r="A6" s="289"/>
      <c r="B6" s="290"/>
      <c r="C6" s="290"/>
      <c r="D6" s="290"/>
      <c r="E6" s="293"/>
      <c r="F6" s="1810" t="s">
        <v>354</v>
      </c>
      <c r="G6" s="1811"/>
      <c r="H6" s="1810" t="s">
        <v>407</v>
      </c>
      <c r="I6" s="1811"/>
    </row>
    <row r="7" spans="1:13">
      <c r="A7" s="295"/>
      <c r="B7" s="191"/>
      <c r="C7" s="191"/>
      <c r="D7" s="191"/>
      <c r="E7" s="294"/>
      <c r="F7" s="297" t="s">
        <v>352</v>
      </c>
      <c r="G7" s="297" t="s">
        <v>276</v>
      </c>
      <c r="H7" s="297" t="s">
        <v>352</v>
      </c>
      <c r="I7" s="296" t="s">
        <v>276</v>
      </c>
    </row>
    <row r="8" spans="1:13">
      <c r="A8" s="299" t="s">
        <v>404</v>
      </c>
      <c r="B8" s="290"/>
      <c r="C8" s="290"/>
      <c r="D8" s="290"/>
      <c r="E8" s="293"/>
      <c r="F8" s="300">
        <v>460748881.59699988</v>
      </c>
      <c r="G8" s="300">
        <v>297349876.81150001</v>
      </c>
      <c r="H8" s="300">
        <f>F8-L8</f>
        <v>140462535.69750011</v>
      </c>
      <c r="I8" s="301">
        <f>G8-M8</f>
        <v>76673459.811500013</v>
      </c>
      <c r="L8" s="5">
        <v>320286345.89949977</v>
      </c>
      <c r="M8" s="5">
        <v>220676417</v>
      </c>
    </row>
    <row r="9" spans="1:13">
      <c r="A9" s="291" t="s">
        <v>405</v>
      </c>
      <c r="B9" s="191"/>
      <c r="C9" s="191"/>
      <c r="D9" s="191"/>
      <c r="E9" s="294"/>
      <c r="F9" s="298">
        <v>226092161.25</v>
      </c>
      <c r="G9" s="298">
        <v>49088592.710000001</v>
      </c>
      <c r="H9" s="298">
        <f>F9-L9</f>
        <v>169058081.56</v>
      </c>
      <c r="I9" s="292">
        <f>G9-M9</f>
        <v>32654966.649999999</v>
      </c>
      <c r="L9" s="5">
        <v>57034079.690000005</v>
      </c>
      <c r="M9" s="5">
        <v>16433626.060000001</v>
      </c>
    </row>
    <row r="10" spans="1:13" s="2" customFormat="1">
      <c r="A10" s="302" t="s">
        <v>23</v>
      </c>
      <c r="B10" s="303"/>
      <c r="C10" s="303"/>
      <c r="D10" s="303"/>
      <c r="E10" s="304"/>
      <c r="F10" s="305">
        <f>SUM(F8:F9)</f>
        <v>686841042.84699988</v>
      </c>
      <c r="G10" s="305">
        <f t="shared" ref="G10:I10" si="0">SUM(G8:G9)</f>
        <v>346438469.52149999</v>
      </c>
      <c r="H10" s="305">
        <f>SUM(H8:H9)</f>
        <v>309520617.25750011</v>
      </c>
      <c r="I10" s="306">
        <f t="shared" si="0"/>
        <v>109328426.46150002</v>
      </c>
    </row>
    <row r="13" spans="1:13">
      <c r="A13" s="2" t="s">
        <v>13</v>
      </c>
    </row>
    <row r="14" spans="1:13">
      <c r="A14" s="289"/>
      <c r="B14" s="290"/>
      <c r="C14" s="290"/>
      <c r="D14" s="290"/>
      <c r="E14" s="293"/>
      <c r="F14" s="1810" t="s">
        <v>354</v>
      </c>
      <c r="G14" s="1811"/>
      <c r="H14" s="1810" t="s">
        <v>407</v>
      </c>
      <c r="I14" s="1811"/>
    </row>
    <row r="15" spans="1:13">
      <c r="A15" s="295"/>
      <c r="B15" s="191"/>
      <c r="C15" s="191"/>
      <c r="D15" s="191"/>
      <c r="E15" s="294"/>
      <c r="F15" s="297" t="s">
        <v>352</v>
      </c>
      <c r="G15" s="297" t="s">
        <v>276</v>
      </c>
      <c r="H15" s="297" t="s">
        <v>352</v>
      </c>
      <c r="I15" s="296" t="s">
        <v>276</v>
      </c>
    </row>
    <row r="16" spans="1:13">
      <c r="A16" s="299" t="s">
        <v>404</v>
      </c>
      <c r="B16" s="290"/>
      <c r="C16" s="290"/>
      <c r="D16" s="290"/>
      <c r="E16" s="293"/>
      <c r="F16" s="300">
        <v>464808183.59699988</v>
      </c>
      <c r="G16" s="300">
        <v>297755466</v>
      </c>
      <c r="H16" s="300">
        <f>F16-L16</f>
        <v>143229701.69750011</v>
      </c>
      <c r="I16" s="301">
        <f>G16-M16</f>
        <v>77037377.691500008</v>
      </c>
      <c r="L16" s="5">
        <v>321578481.89949977</v>
      </c>
      <c r="M16" s="5">
        <v>220718088.30849999</v>
      </c>
    </row>
    <row r="17" spans="1:13">
      <c r="A17" s="291" t="s">
        <v>405</v>
      </c>
      <c r="B17" s="191"/>
      <c r="C17" s="191"/>
      <c r="D17" s="191"/>
      <c r="E17" s="294"/>
      <c r="F17" s="298">
        <v>226092161.25</v>
      </c>
      <c r="G17" s="298">
        <v>49088592.710000001</v>
      </c>
      <c r="H17" s="298">
        <f>F17-L17</f>
        <v>169058081.56</v>
      </c>
      <c r="I17" s="292">
        <f>G17-M17</f>
        <v>32654966.649999999</v>
      </c>
      <c r="L17" s="5">
        <v>57034079.690000005</v>
      </c>
      <c r="M17" s="5">
        <v>16433626.060000001</v>
      </c>
    </row>
    <row r="18" spans="1:13">
      <c r="A18" s="302" t="s">
        <v>23</v>
      </c>
      <c r="B18" s="303"/>
      <c r="C18" s="303"/>
      <c r="D18" s="303"/>
      <c r="E18" s="304"/>
      <c r="F18" s="305">
        <v>690900344.84699988</v>
      </c>
      <c r="G18" s="305">
        <v>346844058.70999998</v>
      </c>
      <c r="H18" s="305">
        <f t="shared" ref="H18" si="1">SUM(H16:H17)</f>
        <v>312287783.25750011</v>
      </c>
      <c r="I18" s="306">
        <f t="shared" ref="I18" si="2">SUM(I16:I17)</f>
        <v>109692344.34150001</v>
      </c>
    </row>
  </sheetData>
  <mergeCells count="4">
    <mergeCell ref="F6:G6"/>
    <mergeCell ref="H6:I6"/>
    <mergeCell ref="F14:G14"/>
    <mergeCell ref="H14:I14"/>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sheetPr>
    <tabColor rgb="FFFF0000"/>
    <pageSetUpPr fitToPage="1"/>
  </sheetPr>
  <dimension ref="B2:U61"/>
  <sheetViews>
    <sheetView view="pageBreakPreview" topLeftCell="A34" zoomScale="89" zoomScaleSheetLayoutView="89" workbookViewId="0">
      <selection activeCell="B2" sqref="B2:P53"/>
    </sheetView>
  </sheetViews>
  <sheetFormatPr defaultColWidth="9.140625" defaultRowHeight="15.75"/>
  <cols>
    <col min="1" max="1" width="9.140625" style="9"/>
    <col min="2" max="2" width="1.7109375" style="9" customWidth="1"/>
    <col min="3" max="3" width="50" style="9" customWidth="1"/>
    <col min="4" max="4" width="1.85546875" style="9" customWidth="1"/>
    <col min="5" max="5" width="14.7109375" style="46" customWidth="1"/>
    <col min="6" max="6" width="0.85546875" style="10" customWidth="1"/>
    <col min="7" max="7" width="14.7109375" style="9" customWidth="1"/>
    <col min="8" max="8" width="1" style="9" customWidth="1"/>
    <col min="9" max="9" width="10.28515625" style="9" customWidth="1"/>
    <col min="10" max="10" width="0.85546875" style="9" customWidth="1"/>
    <col min="11" max="11" width="14.7109375" style="13" customWidth="1"/>
    <col min="12" max="12" width="0.85546875" style="12" customWidth="1"/>
    <col min="13" max="13" width="14.7109375" style="13" customWidth="1"/>
    <col min="14" max="14" width="0.85546875" style="13" customWidth="1"/>
    <col min="15" max="15" width="10.42578125" style="9" bestFit="1" customWidth="1"/>
    <col min="16" max="16" width="2.140625" style="9" customWidth="1"/>
    <col min="17" max="17" width="13.7109375" style="9" bestFit="1" customWidth="1"/>
    <col min="18" max="18" width="10.140625" style="9" bestFit="1" customWidth="1"/>
    <col min="19" max="19" width="11.85546875" style="9" bestFit="1" customWidth="1"/>
    <col min="20" max="20" width="17.140625" style="9" bestFit="1" customWidth="1"/>
    <col min="21" max="21" width="14.85546875" style="9" bestFit="1" customWidth="1"/>
    <col min="22" max="16384" width="9.140625" style="9"/>
  </cols>
  <sheetData>
    <row r="2" spans="2:18" ht="18.75">
      <c r="B2" s="1710" t="s">
        <v>854</v>
      </c>
      <c r="C2" s="1711"/>
      <c r="D2" s="1711"/>
      <c r="E2" s="1711"/>
      <c r="F2" s="1711"/>
      <c r="G2" s="1711"/>
      <c r="H2" s="1711"/>
      <c r="I2" s="1711"/>
      <c r="J2" s="1711"/>
      <c r="K2" s="1711"/>
      <c r="L2" s="1711"/>
      <c r="M2" s="1711"/>
      <c r="N2" s="1711"/>
      <c r="O2" s="1711"/>
      <c r="P2" s="1711"/>
    </row>
    <row r="3" spans="2:18" ht="19.5" thickBot="1">
      <c r="B3" s="802"/>
      <c r="C3" s="800"/>
      <c r="D3" s="800"/>
      <c r="E3" s="800"/>
      <c r="F3" s="800"/>
      <c r="G3" s="800"/>
      <c r="H3" s="800"/>
      <c r="I3" s="800"/>
      <c r="J3" s="800"/>
      <c r="K3" s="800"/>
      <c r="L3" s="800"/>
      <c r="M3" s="800"/>
      <c r="N3" s="800"/>
      <c r="O3" s="800"/>
      <c r="P3" s="800"/>
    </row>
    <row r="4" spans="2:18" s="566" customFormat="1" ht="16.5">
      <c r="B4" s="619"/>
      <c r="C4" s="620"/>
      <c r="D4" s="621"/>
      <c r="E4" s="621"/>
      <c r="F4" s="621"/>
      <c r="G4" s="621"/>
      <c r="H4" s="621"/>
      <c r="I4" s="621"/>
      <c r="J4" s="621"/>
      <c r="K4" s="621"/>
      <c r="L4" s="621"/>
      <c r="M4" s="621"/>
      <c r="N4" s="621"/>
      <c r="O4" s="621"/>
      <c r="P4" s="622"/>
    </row>
    <row r="5" spans="2:18" s="566" customFormat="1" ht="17.25" customHeight="1" thickBot="1">
      <c r="B5" s="623"/>
      <c r="C5" s="570"/>
      <c r="D5" s="570"/>
      <c r="E5" s="1712" t="s">
        <v>15</v>
      </c>
      <c r="F5" s="1712"/>
      <c r="G5" s="1712"/>
      <c r="H5" s="1712"/>
      <c r="I5" s="1712"/>
      <c r="J5" s="801"/>
      <c r="K5" s="1713" t="s">
        <v>13</v>
      </c>
      <c r="L5" s="1713"/>
      <c r="M5" s="1713"/>
      <c r="N5" s="1713"/>
      <c r="O5" s="1713"/>
      <c r="P5" s="624"/>
    </row>
    <row r="6" spans="2:18" s="566" customFormat="1" ht="16.5">
      <c r="B6" s="623"/>
      <c r="C6" s="570" t="s">
        <v>811</v>
      </c>
      <c r="D6" s="570"/>
      <c r="E6" s="1172">
        <v>2020</v>
      </c>
      <c r="F6" s="575"/>
      <c r="G6" s="576">
        <v>2019</v>
      </c>
      <c r="H6" s="576"/>
      <c r="I6" s="576" t="s">
        <v>391</v>
      </c>
      <c r="J6" s="576"/>
      <c r="K6" s="1172">
        <f>E6</f>
        <v>2020</v>
      </c>
      <c r="L6" s="576"/>
      <c r="M6" s="576">
        <f>G6</f>
        <v>2019</v>
      </c>
      <c r="N6" s="576"/>
      <c r="O6" s="576" t="s">
        <v>391</v>
      </c>
      <c r="P6" s="624"/>
    </row>
    <row r="7" spans="2:18" s="566" customFormat="1" ht="16.5">
      <c r="B7" s="623"/>
      <c r="C7" s="570"/>
      <c r="D7" s="570"/>
      <c r="E7" s="577" t="s">
        <v>812</v>
      </c>
      <c r="F7" s="575"/>
      <c r="G7" s="576" t="s">
        <v>812</v>
      </c>
      <c r="H7" s="576"/>
      <c r="I7" s="576" t="s">
        <v>28</v>
      </c>
      <c r="J7" s="576"/>
      <c r="K7" s="577" t="s">
        <v>812</v>
      </c>
      <c r="L7" s="576"/>
      <c r="M7" s="576" t="s">
        <v>812</v>
      </c>
      <c r="N7" s="576"/>
      <c r="O7" s="576" t="s">
        <v>28</v>
      </c>
      <c r="P7" s="624"/>
    </row>
    <row r="8" spans="2:18" s="566" customFormat="1" ht="16.5">
      <c r="B8" s="623"/>
      <c r="C8" s="570"/>
      <c r="D8" s="570"/>
      <c r="E8" s="577"/>
      <c r="F8" s="575"/>
      <c r="G8" s="576" t="str">
        <f>'1 (BS)'!G8</f>
        <v>Restated</v>
      </c>
      <c r="H8" s="576"/>
      <c r="I8" s="576"/>
      <c r="J8" s="576"/>
      <c r="K8" s="577"/>
      <c r="L8" s="576"/>
      <c r="M8" s="576" t="str">
        <f>G8</f>
        <v>Restated</v>
      </c>
      <c r="N8" s="576"/>
      <c r="O8" s="576"/>
      <c r="P8" s="624"/>
    </row>
    <row r="9" spans="2:18" s="566" customFormat="1" ht="17.25" thickBot="1">
      <c r="B9" s="623"/>
      <c r="C9" s="570"/>
      <c r="D9" s="570"/>
      <c r="E9" s="579" t="s">
        <v>148</v>
      </c>
      <c r="F9" s="580"/>
      <c r="G9" s="581" t="s">
        <v>148</v>
      </c>
      <c r="H9" s="576"/>
      <c r="I9" s="576"/>
      <c r="J9" s="576"/>
      <c r="K9" s="579" t="s">
        <v>148</v>
      </c>
      <c r="L9" s="582"/>
      <c r="M9" s="581" t="s">
        <v>148</v>
      </c>
      <c r="N9" s="576"/>
      <c r="O9" s="576"/>
      <c r="P9" s="624"/>
    </row>
    <row r="10" spans="2:18" s="566" customFormat="1" ht="20.100000000000001" customHeight="1">
      <c r="B10" s="623"/>
      <c r="C10" s="612" t="s">
        <v>79</v>
      </c>
      <c r="D10" s="612"/>
      <c r="E10" s="613">
        <f>12112641+300</f>
        <v>12112941</v>
      </c>
      <c r="F10" s="614"/>
      <c r="G10" s="614">
        <f>15942849+400</f>
        <v>15943249</v>
      </c>
      <c r="H10" s="614"/>
      <c r="I10" s="615">
        <f>(E10/G10-1)*100</f>
        <v>-24.02463889261216</v>
      </c>
      <c r="J10" s="614"/>
      <c r="K10" s="613">
        <v>12980952</v>
      </c>
      <c r="L10" s="614"/>
      <c r="M10" s="614">
        <v>16809667</v>
      </c>
      <c r="N10" s="614"/>
      <c r="O10" s="615">
        <f>(K10/M10-1)*100</f>
        <v>-22.776864050905942</v>
      </c>
      <c r="P10" s="624"/>
    </row>
    <row r="11" spans="2:18" s="566" customFormat="1" ht="20.100000000000001" customHeight="1">
      <c r="B11" s="623"/>
      <c r="C11" s="605" t="s">
        <v>333</v>
      </c>
      <c r="D11" s="605"/>
      <c r="E11" s="587">
        <v>6992295</v>
      </c>
      <c r="F11" s="588"/>
      <c r="G11" s="588">
        <v>8145489</v>
      </c>
      <c r="H11" s="588"/>
      <c r="I11" s="606">
        <f>(E11/G11-1)*100</f>
        <v>-14.157455740226277</v>
      </c>
      <c r="J11" s="588"/>
      <c r="K11" s="587">
        <v>7141595</v>
      </c>
      <c r="L11" s="588"/>
      <c r="M11" s="588">
        <v>8301801</v>
      </c>
      <c r="N11" s="588"/>
      <c r="O11" s="606">
        <f>(K11/M11-1)*100</f>
        <v>-13.975353058932638</v>
      </c>
      <c r="P11" s="624"/>
    </row>
    <row r="12" spans="2:18" s="589" customFormat="1" ht="20.100000000000001" customHeight="1">
      <c r="B12" s="625"/>
      <c r="C12" s="639" t="s">
        <v>80</v>
      </c>
      <c r="D12" s="639"/>
      <c r="E12" s="640">
        <f>E10-E11</f>
        <v>5120646</v>
      </c>
      <c r="F12" s="641"/>
      <c r="G12" s="641">
        <f>G10-G11</f>
        <v>7797760</v>
      </c>
      <c r="H12" s="641"/>
      <c r="I12" s="642">
        <f>(E12/G12-1)*100</f>
        <v>-34.331833757386732</v>
      </c>
      <c r="J12" s="641"/>
      <c r="K12" s="640">
        <f>K10-K11</f>
        <v>5839357</v>
      </c>
      <c r="L12" s="641"/>
      <c r="M12" s="641">
        <f>M10-M11</f>
        <v>8507866</v>
      </c>
      <c r="N12" s="641"/>
      <c r="O12" s="642">
        <f>(K12/M12-1)*100</f>
        <v>-31.365197806359436</v>
      </c>
      <c r="P12" s="626"/>
    </row>
    <row r="13" spans="2:18" s="589" customFormat="1" ht="20.100000000000001" customHeight="1">
      <c r="B13" s="625"/>
      <c r="C13" s="650" t="s">
        <v>800</v>
      </c>
      <c r="D13" s="654"/>
      <c r="E13" s="651">
        <v>838182</v>
      </c>
      <c r="F13" s="656"/>
      <c r="G13" s="652">
        <v>833822</v>
      </c>
      <c r="H13" s="656"/>
      <c r="I13" s="653">
        <f>(E13/G13-1)*100</f>
        <v>0.5228933753247178</v>
      </c>
      <c r="J13" s="656"/>
      <c r="K13" s="651">
        <v>550007</v>
      </c>
      <c r="L13" s="656"/>
      <c r="M13" s="652">
        <v>624819</v>
      </c>
      <c r="N13" s="656"/>
      <c r="O13" s="653">
        <f>(K13/M13-1)*100</f>
        <v>-11.973387493017974</v>
      </c>
      <c r="P13" s="626"/>
      <c r="R13" s="566"/>
    </row>
    <row r="14" spans="2:18" s="589" customFormat="1" ht="20.100000000000001" customHeight="1">
      <c r="B14" s="625"/>
      <c r="C14" s="1392" t="s">
        <v>801</v>
      </c>
      <c r="D14" s="1393"/>
      <c r="E14" s="1394">
        <v>0</v>
      </c>
      <c r="F14" s="1395"/>
      <c r="G14" s="1395">
        <v>0</v>
      </c>
      <c r="H14" s="1395"/>
      <c r="I14" s="1396">
        <v>0</v>
      </c>
      <c r="J14" s="1395"/>
      <c r="K14" s="1394">
        <v>0</v>
      </c>
      <c r="L14" s="1395"/>
      <c r="M14" s="1395">
        <v>0</v>
      </c>
      <c r="N14" s="1395"/>
      <c r="O14" s="1396">
        <v>0</v>
      </c>
      <c r="P14" s="626"/>
    </row>
    <row r="15" spans="2:18" s="589" customFormat="1" ht="20.100000000000001" customHeight="1">
      <c r="B15" s="625"/>
      <c r="C15" s="654" t="s">
        <v>334</v>
      </c>
      <c r="D15" s="654"/>
      <c r="E15" s="655">
        <f>E13-E14</f>
        <v>838182</v>
      </c>
      <c r="F15" s="656"/>
      <c r="G15" s="656">
        <f>G13-G14</f>
        <v>833822</v>
      </c>
      <c r="H15" s="656"/>
      <c r="I15" s="1397">
        <f>(E15/G15-1)*100</f>
        <v>0.5228933753247178</v>
      </c>
      <c r="J15" s="656"/>
      <c r="K15" s="655">
        <f>K13-K14</f>
        <v>550007</v>
      </c>
      <c r="L15" s="656"/>
      <c r="M15" s="656">
        <f>M13-M14</f>
        <v>624819</v>
      </c>
      <c r="N15" s="656"/>
      <c r="O15" s="1397">
        <f>(K15/M15-1)*100</f>
        <v>-11.973387493017974</v>
      </c>
      <c r="P15" s="626"/>
    </row>
    <row r="16" spans="2:18" s="589" customFormat="1" ht="20.100000000000001" customHeight="1">
      <c r="B16" s="625"/>
      <c r="C16" s="643" t="s">
        <v>195</v>
      </c>
      <c r="D16" s="654"/>
      <c r="E16" s="644">
        <v>0</v>
      </c>
      <c r="F16" s="645"/>
      <c r="G16" s="645">
        <v>0</v>
      </c>
      <c r="H16" s="656"/>
      <c r="I16" s="1397">
        <v>0</v>
      </c>
      <c r="J16" s="656"/>
      <c r="K16" s="644">
        <v>2550367</v>
      </c>
      <c r="L16" s="645"/>
      <c r="M16" s="645">
        <v>2564114</v>
      </c>
      <c r="N16" s="645"/>
      <c r="O16" s="646">
        <f>(K16/M16-1)*100</f>
        <v>-0.53613060885748798</v>
      </c>
      <c r="P16" s="626"/>
      <c r="R16" s="566"/>
    </row>
    <row r="17" spans="2:21" s="589" customFormat="1" ht="19.5" customHeight="1">
      <c r="B17" s="625"/>
      <c r="C17" s="643" t="s">
        <v>966</v>
      </c>
      <c r="D17" s="654"/>
      <c r="E17" s="644">
        <f>50505-100+24</f>
        <v>50429</v>
      </c>
      <c r="F17" s="645"/>
      <c r="G17" s="645">
        <v>-1487</v>
      </c>
      <c r="H17" s="656"/>
      <c r="I17" s="653">
        <f>-(E17/G17-1)*100</f>
        <v>3491.3248150638869</v>
      </c>
      <c r="J17" s="656"/>
      <c r="K17" s="644">
        <v>88711</v>
      </c>
      <c r="L17" s="645"/>
      <c r="M17" s="645">
        <v>-2271</v>
      </c>
      <c r="N17" s="645"/>
      <c r="O17" s="646">
        <f>-(K17/M17-1)*100</f>
        <v>4006.2527520915892</v>
      </c>
      <c r="P17" s="626"/>
      <c r="R17" s="566"/>
    </row>
    <row r="18" spans="2:21" s="589" customFormat="1" ht="19.5" hidden="1" customHeight="1">
      <c r="B18" s="625"/>
      <c r="C18" s="643" t="s">
        <v>803</v>
      </c>
      <c r="D18" s="654"/>
      <c r="E18" s="644">
        <v>0</v>
      </c>
      <c r="F18" s="645"/>
      <c r="G18" s="645">
        <v>0</v>
      </c>
      <c r="H18" s="656"/>
      <c r="I18" s="1397">
        <v>0</v>
      </c>
      <c r="J18" s="656"/>
      <c r="K18" s="644">
        <v>0</v>
      </c>
      <c r="L18" s="645"/>
      <c r="M18" s="645">
        <v>0</v>
      </c>
      <c r="N18" s="645"/>
      <c r="O18" s="646">
        <v>0</v>
      </c>
      <c r="P18" s="626"/>
    </row>
    <row r="19" spans="2:21" s="566" customFormat="1" ht="19.5" customHeight="1">
      <c r="B19" s="623"/>
      <c r="C19" s="605" t="s">
        <v>969</v>
      </c>
      <c r="D19" s="605"/>
      <c r="E19" s="587">
        <v>14006</v>
      </c>
      <c r="F19" s="588"/>
      <c r="G19" s="588">
        <v>4457</v>
      </c>
      <c r="H19" s="588"/>
      <c r="I19" s="606">
        <f>(E19/G19-1)*100</f>
        <v>214.24725151447163</v>
      </c>
      <c r="J19" s="588"/>
      <c r="K19" s="587">
        <v>99796</v>
      </c>
      <c r="L19" s="588"/>
      <c r="M19" s="588">
        <v>145115</v>
      </c>
      <c r="N19" s="588"/>
      <c r="O19" s="646">
        <f>(K19/M19-1)*100</f>
        <v>-31.229714364469562</v>
      </c>
      <c r="P19" s="624"/>
      <c r="T19" s="1473"/>
      <c r="U19" s="1473"/>
    </row>
    <row r="20" spans="2:21" s="589" customFormat="1" ht="19.5" customHeight="1">
      <c r="B20" s="625"/>
      <c r="C20" s="639" t="s">
        <v>81</v>
      </c>
      <c r="D20" s="639"/>
      <c r="E20" s="640">
        <f>E12+E15+E19+E16+E17+E18</f>
        <v>6023263</v>
      </c>
      <c r="F20" s="641"/>
      <c r="G20" s="641">
        <f>G12+G15+G19+G16+G17+G18</f>
        <v>8634552</v>
      </c>
      <c r="H20" s="641"/>
      <c r="I20" s="642">
        <f>(E20/G20-1)*100</f>
        <v>-30.242321778825353</v>
      </c>
      <c r="J20" s="641"/>
      <c r="K20" s="640">
        <f>K12+K15+K19+K16+K17+K18</f>
        <v>9128238</v>
      </c>
      <c r="L20" s="641"/>
      <c r="M20" s="641">
        <f>M12+M15+M19+M16+M17+M18</f>
        <v>11839643</v>
      </c>
      <c r="N20" s="641"/>
      <c r="O20" s="642">
        <f>(K20/M20-1)*100</f>
        <v>-22.90107058126668</v>
      </c>
      <c r="P20" s="626"/>
    </row>
    <row r="21" spans="2:21" s="566" customFormat="1" ht="19.5" customHeight="1">
      <c r="B21" s="623"/>
      <c r="C21" s="643" t="s">
        <v>804</v>
      </c>
      <c r="D21" s="654"/>
      <c r="E21" s="644"/>
      <c r="F21" s="645"/>
      <c r="G21" s="645"/>
      <c r="H21" s="656"/>
      <c r="I21" s="646"/>
      <c r="J21" s="656"/>
      <c r="K21" s="644"/>
      <c r="L21" s="645"/>
      <c r="M21" s="645"/>
      <c r="N21" s="645"/>
      <c r="O21" s="646"/>
      <c r="P21" s="624"/>
    </row>
    <row r="22" spans="2:21" s="566" customFormat="1" ht="19.5" customHeight="1">
      <c r="B22" s="623"/>
      <c r="C22" s="643" t="s">
        <v>805</v>
      </c>
      <c r="D22" s="654"/>
      <c r="E22" s="644">
        <v>58565</v>
      </c>
      <c r="F22" s="645"/>
      <c r="G22" s="645">
        <v>19099</v>
      </c>
      <c r="H22" s="656"/>
      <c r="I22" s="646">
        <f>(E22/G22-1)*100</f>
        <v>206.6390910518875</v>
      </c>
      <c r="J22" s="656"/>
      <c r="K22" s="644">
        <v>58565</v>
      </c>
      <c r="L22" s="645"/>
      <c r="M22" s="645">
        <v>19099</v>
      </c>
      <c r="N22" s="645"/>
      <c r="O22" s="646">
        <f>(K22/M22-1)*100</f>
        <v>206.6390910518875</v>
      </c>
      <c r="P22" s="624"/>
      <c r="T22" s="1473"/>
      <c r="U22" s="1474"/>
    </row>
    <row r="23" spans="2:21" s="566" customFormat="1" ht="19.5" customHeight="1">
      <c r="B23" s="623"/>
      <c r="C23" s="643" t="s">
        <v>806</v>
      </c>
      <c r="D23" s="654"/>
      <c r="E23" s="644">
        <f>668737+407136</f>
        <v>1075873</v>
      </c>
      <c r="F23" s="645"/>
      <c r="G23" s="645">
        <f>1242966+200</f>
        <v>1243166</v>
      </c>
      <c r="H23" s="656"/>
      <c r="I23" s="646">
        <f>(E23/G23-1)*100</f>
        <v>-13.457012176973947</v>
      </c>
      <c r="J23" s="656"/>
      <c r="K23" s="644">
        <f>788157+407136</f>
        <v>1195293</v>
      </c>
      <c r="L23" s="645"/>
      <c r="M23" s="645">
        <v>1219454</v>
      </c>
      <c r="N23" s="645"/>
      <c r="O23" s="646">
        <f>(K23/M23-1)*100</f>
        <v>-1.9812965474712452</v>
      </c>
      <c r="P23" s="624"/>
      <c r="T23" s="1473"/>
      <c r="U23" s="1474"/>
    </row>
    <row r="24" spans="2:21" s="566" customFormat="1" ht="19.5" customHeight="1">
      <c r="B24" s="623"/>
      <c r="C24" s="573" t="s">
        <v>826</v>
      </c>
      <c r="D24" s="573"/>
      <c r="E24" s="584">
        <v>266605</v>
      </c>
      <c r="F24" s="585">
        <v>0</v>
      </c>
      <c r="G24" s="585">
        <v>329855</v>
      </c>
      <c r="H24" s="585"/>
      <c r="I24" s="586">
        <f>(E24/G24-1)*100</f>
        <v>-19.175092085916535</v>
      </c>
      <c r="J24" s="585"/>
      <c r="K24" s="584">
        <v>266376</v>
      </c>
      <c r="L24" s="585">
        <v>0</v>
      </c>
      <c r="M24" s="585">
        <v>420098</v>
      </c>
      <c r="N24" s="592"/>
      <c r="O24" s="586">
        <f>(K24/M24-1)*100</f>
        <v>-36.591938071592821</v>
      </c>
      <c r="P24" s="624"/>
    </row>
    <row r="25" spans="2:21" s="589" customFormat="1" ht="19.5" customHeight="1">
      <c r="B25" s="625"/>
      <c r="C25" s="639" t="s">
        <v>82</v>
      </c>
      <c r="D25" s="639"/>
      <c r="E25" s="640">
        <f>E20-E22-E23-E24-E21</f>
        <v>4622220</v>
      </c>
      <c r="F25" s="641"/>
      <c r="G25" s="641">
        <f>G20-G22-G23-G24-G21</f>
        <v>7042432</v>
      </c>
      <c r="H25" s="641"/>
      <c r="I25" s="642">
        <f>(E25/G25-1)*100</f>
        <v>-34.366139424562427</v>
      </c>
      <c r="J25" s="641"/>
      <c r="K25" s="640">
        <f>K20-K22-K23-K24-K21</f>
        <v>7608004</v>
      </c>
      <c r="L25" s="641"/>
      <c r="M25" s="641">
        <f>M20-M22-M23-M24-M21</f>
        <v>10180992</v>
      </c>
      <c r="N25" s="641"/>
      <c r="O25" s="642">
        <f>(K25/M25-1)*100</f>
        <v>-25.272468537447036</v>
      </c>
      <c r="P25" s="626"/>
      <c r="T25" s="724"/>
      <c r="U25" s="1474"/>
    </row>
    <row r="26" spans="2:21" s="589" customFormat="1" ht="19.5" customHeight="1">
      <c r="B26" s="625"/>
      <c r="C26" s="643" t="s">
        <v>83</v>
      </c>
      <c r="D26" s="654"/>
      <c r="E26" s="644"/>
      <c r="F26" s="645"/>
      <c r="G26" s="645"/>
      <c r="H26" s="656"/>
      <c r="I26" s="646"/>
      <c r="J26" s="656"/>
      <c r="K26" s="644"/>
      <c r="L26" s="645"/>
      <c r="M26" s="645"/>
      <c r="N26" s="645"/>
      <c r="O26" s="646"/>
      <c r="P26" s="626"/>
      <c r="S26" s="724"/>
    </row>
    <row r="27" spans="2:21" s="566" customFormat="1" ht="19.5" customHeight="1">
      <c r="B27" s="623"/>
      <c r="C27" s="650" t="s">
        <v>158</v>
      </c>
      <c r="D27" s="650"/>
      <c r="E27" s="651">
        <v>1429975</v>
      </c>
      <c r="F27" s="652"/>
      <c r="G27" s="652">
        <v>1867828</v>
      </c>
      <c r="H27" s="652"/>
      <c r="I27" s="653">
        <f>(E27/G27-1)*100</f>
        <v>-23.441826549339662</v>
      </c>
      <c r="J27" s="652"/>
      <c r="K27" s="651">
        <v>1850334</v>
      </c>
      <c r="L27" s="652"/>
      <c r="M27" s="652">
        <v>2290676</v>
      </c>
      <c r="N27" s="652"/>
      <c r="O27" s="653">
        <f t="shared" ref="O27:O32" si="0">(K27/M27-1)*100</f>
        <v>-19.223233665520567</v>
      </c>
      <c r="P27" s="624"/>
      <c r="T27" s="1473"/>
      <c r="U27" s="1473"/>
    </row>
    <row r="28" spans="2:21" s="569" customFormat="1" ht="19.5" customHeight="1">
      <c r="B28" s="627"/>
      <c r="C28" s="648" t="s">
        <v>154</v>
      </c>
      <c r="D28" s="648"/>
      <c r="E28" s="644">
        <v>352655</v>
      </c>
      <c r="F28" s="645"/>
      <c r="G28" s="645">
        <v>360836</v>
      </c>
      <c r="H28" s="645"/>
      <c r="I28" s="646">
        <f>(E28/G28-1)*100</f>
        <v>-2.2672349765544442</v>
      </c>
      <c r="J28" s="645"/>
      <c r="K28" s="644">
        <f>305764+500</f>
        <v>306264</v>
      </c>
      <c r="L28" s="645"/>
      <c r="M28" s="645">
        <f>350847+100</f>
        <v>350947</v>
      </c>
      <c r="N28" s="649"/>
      <c r="O28" s="646">
        <f t="shared" si="0"/>
        <v>-12.73212194433917</v>
      </c>
      <c r="P28" s="628"/>
      <c r="R28" s="566"/>
    </row>
    <row r="29" spans="2:21" s="569" customFormat="1" ht="19.5" customHeight="1">
      <c r="B29" s="627"/>
      <c r="C29" s="648" t="s">
        <v>84</v>
      </c>
      <c r="D29" s="648"/>
      <c r="E29" s="644">
        <v>48215</v>
      </c>
      <c r="F29" s="645"/>
      <c r="G29" s="645">
        <v>36345</v>
      </c>
      <c r="H29" s="645"/>
      <c r="I29" s="646">
        <f>(E29/G29-1)*100</f>
        <v>32.659237859402943</v>
      </c>
      <c r="J29" s="645"/>
      <c r="K29" s="644">
        <v>49601</v>
      </c>
      <c r="L29" s="645"/>
      <c r="M29" s="645">
        <v>37641</v>
      </c>
      <c r="N29" s="649"/>
      <c r="O29" s="646">
        <f t="shared" si="0"/>
        <v>31.773863606174114</v>
      </c>
      <c r="P29" s="628"/>
      <c r="R29" s="566"/>
    </row>
    <row r="30" spans="2:21" s="569" customFormat="1" ht="19.5" customHeight="1">
      <c r="B30" s="627"/>
      <c r="C30" s="648" t="s">
        <v>155</v>
      </c>
      <c r="D30" s="648"/>
      <c r="E30" s="644">
        <v>0</v>
      </c>
      <c r="F30" s="645"/>
      <c r="G30" s="645">
        <v>0</v>
      </c>
      <c r="H30" s="645"/>
      <c r="I30" s="646">
        <v>0</v>
      </c>
      <c r="J30" s="645"/>
      <c r="K30" s="644">
        <v>1268321</v>
      </c>
      <c r="L30" s="645"/>
      <c r="M30" s="645">
        <v>1764822</v>
      </c>
      <c r="N30" s="649"/>
      <c r="O30" s="646">
        <f t="shared" si="0"/>
        <v>-28.133205501744651</v>
      </c>
      <c r="P30" s="628"/>
      <c r="R30" s="566"/>
    </row>
    <row r="31" spans="2:21" s="566" customFormat="1" ht="21.75" customHeight="1">
      <c r="B31" s="623"/>
      <c r="C31" s="573" t="s">
        <v>85</v>
      </c>
      <c r="D31" s="573"/>
      <c r="E31" s="584">
        <f>810737-300</f>
        <v>810437</v>
      </c>
      <c r="F31" s="585"/>
      <c r="G31" s="585">
        <f>1140720+800</f>
        <v>1141520</v>
      </c>
      <c r="H31" s="585"/>
      <c r="I31" s="586">
        <f>(E31/G31-1)*100</f>
        <v>-29.003696825285587</v>
      </c>
      <c r="J31" s="585"/>
      <c r="K31" s="644">
        <f>977960+700</f>
        <v>978660</v>
      </c>
      <c r="L31" s="585"/>
      <c r="M31" s="585">
        <f>1416473-1000</f>
        <v>1415473</v>
      </c>
      <c r="N31" s="585"/>
      <c r="O31" s="586">
        <f t="shared" si="0"/>
        <v>-30.859860979333408</v>
      </c>
      <c r="P31" s="624"/>
      <c r="T31" s="1473"/>
      <c r="U31" s="1473"/>
    </row>
    <row r="32" spans="2:21" s="566" customFormat="1" ht="19.5" customHeight="1">
      <c r="B32" s="623"/>
      <c r="C32" s="608" t="s">
        <v>86</v>
      </c>
      <c r="D32" s="608"/>
      <c r="E32" s="609">
        <f>E27+E28+E29+E31</f>
        <v>2641282</v>
      </c>
      <c r="F32" s="610"/>
      <c r="G32" s="610">
        <f>G27+G28+G29+G31</f>
        <v>3406529</v>
      </c>
      <c r="H32" s="610"/>
      <c r="I32" s="611">
        <f>(E32/G32-1)*100</f>
        <v>-22.464126974994191</v>
      </c>
      <c r="J32" s="610"/>
      <c r="K32" s="609">
        <f>K27+K28+K29+K31+K30</f>
        <v>4453180</v>
      </c>
      <c r="L32" s="610"/>
      <c r="M32" s="610">
        <f>M27+M28+M29+M30+M31</f>
        <v>5859559</v>
      </c>
      <c r="N32" s="610"/>
      <c r="O32" s="611">
        <f t="shared" si="0"/>
        <v>-24.001447890532379</v>
      </c>
      <c r="P32" s="624"/>
    </row>
    <row r="33" spans="2:21" s="566" customFormat="1" ht="8.25" customHeight="1">
      <c r="B33" s="623"/>
      <c r="C33" s="573"/>
      <c r="D33" s="573"/>
      <c r="E33" s="584"/>
      <c r="F33" s="585"/>
      <c r="G33" s="585"/>
      <c r="H33" s="585"/>
      <c r="I33" s="586"/>
      <c r="J33" s="585"/>
      <c r="K33" s="584"/>
      <c r="L33" s="585"/>
      <c r="M33" s="585"/>
      <c r="N33" s="585"/>
      <c r="O33" s="586"/>
      <c r="P33" s="624"/>
    </row>
    <row r="34" spans="2:21" s="589" customFormat="1" ht="51" customHeight="1">
      <c r="B34" s="625"/>
      <c r="C34" s="1465" t="s">
        <v>967</v>
      </c>
      <c r="D34" s="654"/>
      <c r="E34" s="655">
        <f>E25-E32</f>
        <v>1980938</v>
      </c>
      <c r="F34" s="656"/>
      <c r="G34" s="656">
        <f>G25-G32</f>
        <v>3635903</v>
      </c>
      <c r="H34" s="656"/>
      <c r="I34" s="653">
        <f>(E34/G34-1)*100</f>
        <v>-45.51730340440875</v>
      </c>
      <c r="J34" s="656"/>
      <c r="K34" s="655">
        <f>K25-K32</f>
        <v>3154824</v>
      </c>
      <c r="L34" s="656"/>
      <c r="M34" s="656">
        <f>M25-M32</f>
        <v>4321433</v>
      </c>
      <c r="N34" s="656"/>
      <c r="O34" s="653">
        <f>(K34/M34-1)*100</f>
        <v>-26.99588307859916</v>
      </c>
      <c r="P34" s="626"/>
    </row>
    <row r="35" spans="2:21" s="566" customFormat="1" ht="19.5" customHeight="1">
      <c r="B35" s="623"/>
      <c r="C35" s="605" t="s">
        <v>968</v>
      </c>
      <c r="D35" s="605"/>
      <c r="E35" s="587">
        <v>457574</v>
      </c>
      <c r="F35" s="588"/>
      <c r="G35" s="588">
        <v>1129030</v>
      </c>
      <c r="H35" s="588"/>
      <c r="I35" s="606">
        <f>(E35/G35-1)*100</f>
        <v>-59.471936086729315</v>
      </c>
      <c r="J35" s="588"/>
      <c r="K35" s="587">
        <v>471768</v>
      </c>
      <c r="L35" s="588"/>
      <c r="M35" s="588">
        <v>1145089</v>
      </c>
      <c r="N35" s="588"/>
      <c r="O35" s="606">
        <f>(K35/M35-1)*100</f>
        <v>-58.800756971728838</v>
      </c>
      <c r="P35" s="624"/>
    </row>
    <row r="36" spans="2:21" s="589" customFormat="1" ht="40.5" hidden="1" customHeight="1">
      <c r="B36" s="625"/>
      <c r="C36" s="1466" t="s">
        <v>864</v>
      </c>
      <c r="D36" s="639"/>
      <c r="E36" s="640">
        <f>E34-E35</f>
        <v>1523364</v>
      </c>
      <c r="F36" s="641"/>
      <c r="G36" s="641">
        <f>G34-G35</f>
        <v>2506873</v>
      </c>
      <c r="H36" s="641"/>
      <c r="I36" s="642">
        <f>(E36/G36-1)*100</f>
        <v>-39.232502005486516</v>
      </c>
      <c r="J36" s="641"/>
      <c r="K36" s="640">
        <f>K34-K35</f>
        <v>2683056</v>
      </c>
      <c r="L36" s="641"/>
      <c r="M36" s="641">
        <f>M34-M35</f>
        <v>3176344</v>
      </c>
      <c r="N36" s="641"/>
      <c r="O36" s="642">
        <f>(K36/M36-1)*100</f>
        <v>-15.530055938525555</v>
      </c>
      <c r="P36" s="626"/>
    </row>
    <row r="37" spans="2:21" s="589" customFormat="1" ht="19.5" hidden="1" customHeight="1">
      <c r="B37" s="625"/>
      <c r="C37" s="570"/>
      <c r="D37" s="570"/>
      <c r="E37" s="590"/>
      <c r="F37" s="591"/>
      <c r="G37" s="591"/>
      <c r="H37" s="591"/>
      <c r="I37" s="586"/>
      <c r="J37" s="591"/>
      <c r="K37" s="590"/>
      <c r="L37" s="591"/>
      <c r="M37" s="591"/>
      <c r="N37" s="591"/>
      <c r="O37" s="586"/>
      <c r="P37" s="626"/>
    </row>
    <row r="38" spans="2:21" s="589" customFormat="1" ht="19.5" hidden="1" customHeight="1">
      <c r="B38" s="625"/>
      <c r="C38" s="605" t="s">
        <v>843</v>
      </c>
      <c r="D38" s="605"/>
      <c r="E38" s="587">
        <v>0</v>
      </c>
      <c r="F38" s="588"/>
      <c r="G38" s="588">
        <v>0</v>
      </c>
      <c r="H38" s="588"/>
      <c r="I38" s="606">
        <v>0</v>
      </c>
      <c r="J38" s="588"/>
      <c r="K38" s="587">
        <v>0</v>
      </c>
      <c r="L38" s="588"/>
      <c r="M38" s="588">
        <v>0</v>
      </c>
      <c r="N38" s="588"/>
      <c r="O38" s="606" t="e">
        <f>-(K38/M38-1)*100</f>
        <v>#DIV/0!</v>
      </c>
      <c r="P38" s="626"/>
      <c r="R38" s="566"/>
    </row>
    <row r="39" spans="2:21" s="589" customFormat="1" ht="19.5" customHeight="1">
      <c r="B39" s="625"/>
      <c r="C39" s="639" t="s">
        <v>865</v>
      </c>
      <c r="D39" s="639"/>
      <c r="E39" s="640">
        <f>E36+E38</f>
        <v>1523364</v>
      </c>
      <c r="F39" s="641"/>
      <c r="G39" s="641">
        <f>G36+G38</f>
        <v>2506873</v>
      </c>
      <c r="H39" s="641"/>
      <c r="I39" s="642">
        <f>(E39/G39-1)*100</f>
        <v>-39.232502005486516</v>
      </c>
      <c r="J39" s="641"/>
      <c r="K39" s="640">
        <f>K36+K38</f>
        <v>2683056</v>
      </c>
      <c r="L39" s="641"/>
      <c r="M39" s="641">
        <f>M36+M38</f>
        <v>3176344</v>
      </c>
      <c r="N39" s="641"/>
      <c r="O39" s="642">
        <f>(K39/M39-1)*100</f>
        <v>-15.530055938525555</v>
      </c>
      <c r="P39" s="626"/>
    </row>
    <row r="40" spans="2:21" s="589" customFormat="1" ht="19.5" customHeight="1">
      <c r="B40" s="625"/>
      <c r="C40" s="570"/>
      <c r="D40" s="570"/>
      <c r="E40" s="590"/>
      <c r="F40" s="591"/>
      <c r="G40" s="591"/>
      <c r="H40" s="591"/>
      <c r="I40" s="586"/>
      <c r="J40" s="591"/>
      <c r="K40" s="590"/>
      <c r="L40" s="591"/>
      <c r="M40" s="591"/>
      <c r="N40" s="591"/>
      <c r="O40" s="586"/>
      <c r="P40" s="626"/>
    </row>
    <row r="41" spans="2:21" s="566" customFormat="1" ht="19.5" customHeight="1">
      <c r="B41" s="623"/>
      <c r="C41" s="573" t="s">
        <v>90</v>
      </c>
      <c r="D41" s="573"/>
      <c r="E41" s="584">
        <f>538713+170</f>
        <v>538883</v>
      </c>
      <c r="F41" s="585"/>
      <c r="G41" s="585">
        <v>863840</v>
      </c>
      <c r="H41" s="585"/>
      <c r="I41" s="586">
        <f>(E41/G41-1)*100</f>
        <v>-37.617730135210223</v>
      </c>
      <c r="J41" s="585"/>
      <c r="K41" s="584">
        <v>847795</v>
      </c>
      <c r="L41" s="585"/>
      <c r="M41" s="585">
        <v>1070041</v>
      </c>
      <c r="N41" s="585"/>
      <c r="O41" s="586">
        <f>(K41/M41-1)*100</f>
        <v>-20.769858351222059</v>
      </c>
      <c r="P41" s="624"/>
    </row>
    <row r="42" spans="2:21" s="589" customFormat="1" ht="19.5" customHeight="1" thickBot="1">
      <c r="B42" s="625"/>
      <c r="C42" s="601" t="s">
        <v>149</v>
      </c>
      <c r="D42" s="601"/>
      <c r="E42" s="602">
        <f>E39-E41</f>
        <v>984481</v>
      </c>
      <c r="F42" s="603"/>
      <c r="G42" s="603">
        <f>G39-G41</f>
        <v>1643033</v>
      </c>
      <c r="H42" s="603"/>
      <c r="I42" s="604">
        <f>(E42/G42-1)*100</f>
        <v>-40.081483451640963</v>
      </c>
      <c r="J42" s="603"/>
      <c r="K42" s="602">
        <f>K39-K41</f>
        <v>1835261</v>
      </c>
      <c r="L42" s="603"/>
      <c r="M42" s="603">
        <f>M39-M41</f>
        <v>2106303</v>
      </c>
      <c r="N42" s="603"/>
      <c r="O42" s="604">
        <f>(K42/M42-1)*100</f>
        <v>-12.868139104392862</v>
      </c>
      <c r="P42" s="626"/>
      <c r="T42" s="1485"/>
      <c r="U42" s="724"/>
    </row>
    <row r="43" spans="2:21" s="589" customFormat="1" ht="19.5" customHeight="1">
      <c r="B43" s="625"/>
      <c r="C43" s="570"/>
      <c r="D43" s="570"/>
      <c r="E43" s="590"/>
      <c r="F43" s="591"/>
      <c r="G43" s="591"/>
      <c r="H43" s="591"/>
      <c r="I43" s="586"/>
      <c r="J43" s="591"/>
      <c r="K43" s="590"/>
      <c r="L43" s="591"/>
      <c r="M43" s="591"/>
      <c r="N43" s="591"/>
      <c r="O43" s="586"/>
      <c r="P43" s="626"/>
    </row>
    <row r="44" spans="2:21" s="589" customFormat="1" ht="19.5" customHeight="1">
      <c r="B44" s="625"/>
      <c r="C44" s="1444" t="s">
        <v>91</v>
      </c>
      <c r="D44" s="1444"/>
      <c r="E44" s="1448"/>
      <c r="F44" s="1449"/>
      <c r="G44" s="1449"/>
      <c r="H44" s="1449"/>
      <c r="I44" s="1449"/>
      <c r="J44" s="1449"/>
      <c r="K44" s="1448"/>
      <c r="L44" s="1449"/>
      <c r="M44" s="1449"/>
      <c r="N44" s="1450"/>
      <c r="O44" s="1451"/>
      <c r="P44" s="626"/>
    </row>
    <row r="45" spans="2:21" s="589" customFormat="1" ht="19.5" customHeight="1">
      <c r="B45" s="625"/>
      <c r="C45" s="1445" t="s">
        <v>917</v>
      </c>
      <c r="D45" s="1445"/>
      <c r="E45" s="1452">
        <f>E42-E46</f>
        <v>984481</v>
      </c>
      <c r="F45" s="1453"/>
      <c r="G45" s="1453">
        <f>G42-G46</f>
        <v>1643033</v>
      </c>
      <c r="H45" s="1453"/>
      <c r="I45" s="1454">
        <f>(E45/G45-1)*100</f>
        <v>-40.081483451640963</v>
      </c>
      <c r="J45" s="1453"/>
      <c r="K45" s="1452">
        <f>K42-K46</f>
        <v>1651481</v>
      </c>
      <c r="L45" s="1453"/>
      <c r="M45" s="1453">
        <f>M42-M46</f>
        <v>2000411</v>
      </c>
      <c r="N45" s="1453"/>
      <c r="O45" s="1454">
        <f>(K45/M45-1)*100</f>
        <v>-17.442915480868681</v>
      </c>
      <c r="P45" s="626"/>
    </row>
    <row r="46" spans="2:21" s="589" customFormat="1" ht="19.5" customHeight="1">
      <c r="B46" s="625"/>
      <c r="C46" s="1446" t="s">
        <v>916</v>
      </c>
      <c r="D46" s="1446"/>
      <c r="E46" s="1455">
        <v>0</v>
      </c>
      <c r="F46" s="1450"/>
      <c r="G46" s="1450">
        <v>0</v>
      </c>
      <c r="H46" s="1450"/>
      <c r="I46" s="1456">
        <v>0</v>
      </c>
      <c r="J46" s="1450"/>
      <c r="K46" s="1455">
        <f>183530+250</f>
        <v>183780</v>
      </c>
      <c r="L46" s="1450"/>
      <c r="M46" s="1450">
        <v>105892</v>
      </c>
      <c r="N46" s="1450"/>
      <c r="O46" s="1454">
        <f>(K46/M46-1)*100</f>
        <v>73.554187285158463</v>
      </c>
      <c r="P46" s="626"/>
      <c r="R46" s="566"/>
    </row>
    <row r="47" spans="2:21" s="566" customFormat="1" ht="19.5" customHeight="1" thickBot="1">
      <c r="B47" s="623"/>
      <c r="C47" s="1499" t="s">
        <v>149</v>
      </c>
      <c r="D47" s="1447"/>
      <c r="E47" s="1457">
        <f>E45+E46</f>
        <v>984481</v>
      </c>
      <c r="F47" s="1458"/>
      <c r="G47" s="1458">
        <f>G45+G46</f>
        <v>1643033</v>
      </c>
      <c r="H47" s="1458"/>
      <c r="I47" s="1459">
        <f>(E47/G47-1)*100</f>
        <v>-40.081483451640963</v>
      </c>
      <c r="J47" s="1458"/>
      <c r="K47" s="1457">
        <f>K45+K46</f>
        <v>1835261</v>
      </c>
      <c r="L47" s="1458"/>
      <c r="M47" s="1458">
        <f>M45+M46</f>
        <v>2106303</v>
      </c>
      <c r="N47" s="1458"/>
      <c r="O47" s="1459">
        <f>(K47/M47-1)*100</f>
        <v>-12.868139104392862</v>
      </c>
      <c r="P47" s="624"/>
    </row>
    <row r="48" spans="2:21" s="566" customFormat="1" ht="19.5" customHeight="1">
      <c r="B48" s="623"/>
      <c r="C48" s="643" t="s">
        <v>458</v>
      </c>
      <c r="D48" s="643"/>
      <c r="E48" s="674">
        <f>ROUND(E45/(1627703388/1000),2)</f>
        <v>0.6</v>
      </c>
      <c r="F48" s="675"/>
      <c r="G48" s="675">
        <f>ROUND(G45/(1595809450.66667/1000),2)</f>
        <v>1.03</v>
      </c>
      <c r="H48" s="675"/>
      <c r="I48" s="1254">
        <f>(E48/G48-1)*100</f>
        <v>-41.747572815533985</v>
      </c>
      <c r="J48" s="675"/>
      <c r="K48" s="674">
        <f>ROUND(K45/(1627703388/1000),2)</f>
        <v>1.01</v>
      </c>
      <c r="L48" s="675"/>
      <c r="M48" s="675">
        <f>ROUND(M45/(1595809450.66667/1000),2)</f>
        <v>1.25</v>
      </c>
      <c r="N48" s="677"/>
      <c r="O48" s="1254">
        <f>(K48/M48-1)*100</f>
        <v>-19.199999999999996</v>
      </c>
      <c r="P48" s="624"/>
    </row>
    <row r="49" spans="2:16" s="566" customFormat="1" ht="8.25" customHeight="1" thickBot="1">
      <c r="B49" s="623"/>
      <c r="C49" s="573"/>
      <c r="D49" s="573"/>
      <c r="E49" s="598"/>
      <c r="F49" s="595"/>
      <c r="G49" s="595"/>
      <c r="H49" s="595"/>
      <c r="I49" s="596"/>
      <c r="J49" s="595"/>
      <c r="K49" s="598"/>
      <c r="L49" s="595"/>
      <c r="M49" s="595"/>
      <c r="N49" s="597"/>
      <c r="O49" s="596"/>
      <c r="P49" s="624"/>
    </row>
    <row r="50" spans="2:16" s="599" customFormat="1">
      <c r="B50" s="629"/>
      <c r="C50" s="600"/>
      <c r="D50" s="600"/>
      <c r="E50" s="630"/>
      <c r="F50" s="600"/>
      <c r="G50" s="600"/>
      <c r="H50" s="600"/>
      <c r="I50" s="600"/>
      <c r="J50" s="600"/>
      <c r="K50" s="631"/>
      <c r="L50" s="631" t="e">
        <v>#REF!</v>
      </c>
      <c r="M50" s="631"/>
      <c r="N50" s="631"/>
      <c r="O50" s="600"/>
      <c r="P50" s="632"/>
    </row>
    <row r="51" spans="2:16" s="566" customFormat="1" ht="24.75" customHeight="1">
      <c r="B51" s="623"/>
      <c r="C51" s="1388" t="s">
        <v>146</v>
      </c>
      <c r="D51" s="573"/>
      <c r="E51" s="633"/>
      <c r="F51" s="633"/>
      <c r="G51" s="633"/>
      <c r="H51" s="633"/>
      <c r="I51" s="633"/>
      <c r="J51" s="633"/>
      <c r="K51" s="634"/>
      <c r="L51" s="593"/>
      <c r="M51" s="1490"/>
      <c r="N51" s="634"/>
      <c r="O51" s="573"/>
      <c r="P51" s="624"/>
    </row>
    <row r="52" spans="2:16" s="566" customFormat="1" ht="17.25" customHeight="1">
      <c r="B52" s="623"/>
      <c r="C52" s="1388" t="s">
        <v>177</v>
      </c>
      <c r="D52" s="573"/>
      <c r="E52" s="633"/>
      <c r="F52" s="633"/>
      <c r="G52" s="633"/>
      <c r="H52" s="633"/>
      <c r="I52" s="633"/>
      <c r="J52" s="633"/>
      <c r="K52" s="634"/>
      <c r="L52" s="593"/>
      <c r="M52" s="634"/>
      <c r="N52" s="634"/>
      <c r="O52" s="573"/>
      <c r="P52" s="624"/>
    </row>
    <row r="53" spans="2:16" ht="16.5" thickBot="1">
      <c r="B53" s="635"/>
      <c r="C53" s="17"/>
      <c r="D53" s="17"/>
      <c r="E53" s="636"/>
      <c r="F53" s="17"/>
      <c r="G53" s="17"/>
      <c r="H53" s="17"/>
      <c r="I53" s="17"/>
      <c r="J53" s="17"/>
      <c r="K53" s="637"/>
      <c r="L53" s="637"/>
      <c r="M53" s="637"/>
      <c r="N53" s="637"/>
      <c r="O53" s="17"/>
      <c r="P53" s="638"/>
    </row>
    <row r="56" spans="2:16">
      <c r="K56" s="278"/>
    </row>
    <row r="57" spans="2:16">
      <c r="K57" s="46"/>
    </row>
    <row r="61" spans="2:16">
      <c r="G61" s="46"/>
      <c r="K61" s="45"/>
      <c r="L61" s="45"/>
      <c r="M61" s="45"/>
    </row>
  </sheetData>
  <mergeCells count="3">
    <mergeCell ref="B2:P2"/>
    <mergeCell ref="E5:I5"/>
    <mergeCell ref="K5:O5"/>
  </mergeCells>
  <pageMargins left="0.5" right="0.25"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sheetPr>
    <tabColor rgb="FFFF0000"/>
    <pageSetUpPr fitToPage="1"/>
  </sheetPr>
  <dimension ref="B1:P32"/>
  <sheetViews>
    <sheetView view="pageBreakPreview" topLeftCell="A17" zoomScale="89" zoomScaleSheetLayoutView="89" workbookViewId="0">
      <selection activeCell="I25" sqref="I25"/>
    </sheetView>
  </sheetViews>
  <sheetFormatPr defaultColWidth="9.140625" defaultRowHeight="15.75"/>
  <cols>
    <col min="1" max="1" width="9.140625" style="9"/>
    <col min="2" max="2" width="1.85546875" style="9" customWidth="1"/>
    <col min="3" max="3" width="58.28515625" style="9" customWidth="1"/>
    <col min="4" max="4" width="1.28515625" style="9" customWidth="1"/>
    <col min="5" max="5" width="14.7109375" style="9" customWidth="1"/>
    <col min="6" max="6" width="0.85546875" style="9" customWidth="1"/>
    <col min="7" max="7" width="14.7109375" style="9" customWidth="1"/>
    <col min="8" max="8" width="1" style="9" customWidth="1"/>
    <col min="9" max="9" width="9.42578125" style="9" customWidth="1"/>
    <col min="10" max="10" width="0.85546875" style="9" customWidth="1"/>
    <col min="11" max="11" width="14.7109375" style="9" customWidth="1"/>
    <col min="12" max="12" width="0.85546875" style="9" customWidth="1"/>
    <col min="13" max="13" width="14.7109375" style="9" customWidth="1"/>
    <col min="14" max="14" width="0.85546875" style="9" customWidth="1"/>
    <col min="15" max="15" width="10.7109375" style="9" bestFit="1" customWidth="1"/>
    <col min="16" max="16" width="1.7109375" style="9" customWidth="1"/>
    <col min="17" max="16384" width="9.140625" style="9"/>
  </cols>
  <sheetData>
    <row r="1" spans="2:16" ht="21" customHeight="1">
      <c r="B1" s="1710" t="s">
        <v>550</v>
      </c>
      <c r="C1" s="1711"/>
      <c r="D1" s="1711"/>
      <c r="E1" s="1711"/>
      <c r="F1" s="1711"/>
      <c r="G1" s="1711"/>
      <c r="H1" s="1711"/>
      <c r="I1" s="1711"/>
      <c r="J1" s="1711"/>
      <c r="K1" s="1711"/>
      <c r="L1" s="1711"/>
      <c r="M1" s="1711"/>
      <c r="N1" s="1711"/>
      <c r="O1" s="1711"/>
      <c r="P1" s="1711"/>
    </row>
    <row r="2" spans="2:16" ht="15.75" customHeight="1" thickBot="1">
      <c r="C2" s="10"/>
      <c r="D2" s="10"/>
      <c r="E2" s="10"/>
      <c r="F2" s="10"/>
      <c r="G2" s="10"/>
      <c r="H2" s="10"/>
      <c r="I2" s="10"/>
      <c r="J2" s="10"/>
      <c r="K2" s="10"/>
      <c r="L2" s="10"/>
      <c r="M2" s="10"/>
    </row>
    <row r="3" spans="2:16" s="566" customFormat="1" ht="15.75" customHeight="1">
      <c r="B3" s="619"/>
      <c r="C3" s="713"/>
      <c r="D3" s="713"/>
      <c r="E3" s="713"/>
      <c r="F3" s="713"/>
      <c r="G3" s="713"/>
      <c r="H3" s="713"/>
      <c r="I3" s="713"/>
      <c r="J3" s="713"/>
      <c r="K3" s="713"/>
      <c r="L3" s="713"/>
      <c r="M3" s="713"/>
      <c r="N3" s="713"/>
      <c r="O3" s="713"/>
      <c r="P3" s="714"/>
    </row>
    <row r="4" spans="2:16" s="566" customFormat="1" ht="17.25" thickBot="1">
      <c r="B4" s="623"/>
      <c r="C4" s="570"/>
      <c r="D4" s="570"/>
      <c r="E4" s="1712" t="s">
        <v>15</v>
      </c>
      <c r="F4" s="1712"/>
      <c r="G4" s="1712"/>
      <c r="H4" s="1712"/>
      <c r="I4" s="1712"/>
      <c r="J4" s="801"/>
      <c r="K4" s="1712" t="s">
        <v>13</v>
      </c>
      <c r="L4" s="1712"/>
      <c r="M4" s="1712"/>
      <c r="N4" s="1712"/>
      <c r="O4" s="1712"/>
      <c r="P4" s="624"/>
    </row>
    <row r="5" spans="2:16" s="566" customFormat="1" ht="16.5">
      <c r="B5" s="623"/>
      <c r="C5" s="570" t="str">
        <f>'2 (IS)'!C6</f>
        <v>For the six months ended 30th September</v>
      </c>
      <c r="D5" s="570"/>
      <c r="E5" s="1389">
        <f>'2 (IS)'!E6</f>
        <v>2020</v>
      </c>
      <c r="F5" s="678"/>
      <c r="G5" s="1398">
        <f>'2 (IS)'!G6</f>
        <v>2019</v>
      </c>
      <c r="H5" s="678"/>
      <c r="I5" s="679" t="s">
        <v>391</v>
      </c>
      <c r="J5" s="679"/>
      <c r="K5" s="1389">
        <f>E5</f>
        <v>2020</v>
      </c>
      <c r="L5" s="1173"/>
      <c r="M5" s="1398">
        <f>G5</f>
        <v>2019</v>
      </c>
      <c r="N5" s="570"/>
      <c r="O5" s="679" t="s">
        <v>391</v>
      </c>
      <c r="P5" s="624"/>
    </row>
    <row r="6" spans="2:16" s="566" customFormat="1" ht="16.5">
      <c r="B6" s="623"/>
      <c r="C6" s="570"/>
      <c r="D6" s="570"/>
      <c r="E6" s="1390" t="str">
        <f>'2 (IS)'!E7</f>
        <v>Rs. '000</v>
      </c>
      <c r="F6" s="678"/>
      <c r="G6" s="1398" t="s">
        <v>812</v>
      </c>
      <c r="H6" s="678"/>
      <c r="I6" s="576" t="s">
        <v>28</v>
      </c>
      <c r="J6" s="679"/>
      <c r="K6" s="1390" t="str">
        <f t="shared" ref="K6" si="0">E6</f>
        <v>Rs. '000</v>
      </c>
      <c r="L6" s="1173"/>
      <c r="M6" s="1398" t="s">
        <v>812</v>
      </c>
      <c r="N6" s="570"/>
      <c r="O6" s="576" t="s">
        <v>28</v>
      </c>
      <c r="P6" s="624"/>
    </row>
    <row r="7" spans="2:16" s="566" customFormat="1" ht="16.5">
      <c r="B7" s="623"/>
      <c r="C7" s="570"/>
      <c r="D7" s="570"/>
      <c r="E7" s="1390"/>
      <c r="F7" s="678"/>
      <c r="G7" s="1398" t="str">
        <f>'2 (IS)'!G8</f>
        <v>Restated</v>
      </c>
      <c r="H7" s="678"/>
      <c r="I7" s="576"/>
      <c r="J7" s="679"/>
      <c r="K7" s="1390"/>
      <c r="L7" s="1173"/>
      <c r="M7" s="1398" t="str">
        <f>G7</f>
        <v>Restated</v>
      </c>
      <c r="N7" s="570"/>
      <c r="O7" s="576"/>
      <c r="P7" s="624"/>
    </row>
    <row r="8" spans="2:16" s="566" customFormat="1" ht="17.25" thickBot="1">
      <c r="B8" s="623"/>
      <c r="C8" s="578"/>
      <c r="D8" s="578"/>
      <c r="E8" s="1391" t="s">
        <v>148</v>
      </c>
      <c r="F8" s="581"/>
      <c r="G8" s="1399" t="s">
        <v>148</v>
      </c>
      <c r="H8" s="581"/>
      <c r="I8" s="680"/>
      <c r="J8" s="680"/>
      <c r="K8" s="1391" t="s">
        <v>148</v>
      </c>
      <c r="L8" s="581"/>
      <c r="M8" s="1399" t="s">
        <v>148</v>
      </c>
      <c r="N8" s="578"/>
      <c r="O8" s="583"/>
      <c r="P8" s="624"/>
    </row>
    <row r="9" spans="2:16" s="566" customFormat="1" ht="19.5" customHeight="1">
      <c r="B9" s="623"/>
      <c r="C9" s="573"/>
      <c r="D9" s="573"/>
      <c r="E9" s="681"/>
      <c r="F9" s="573"/>
      <c r="G9" s="573"/>
      <c r="H9" s="573"/>
      <c r="I9" s="573"/>
      <c r="J9" s="573"/>
      <c r="K9" s="681"/>
      <c r="L9" s="573"/>
      <c r="M9" s="573"/>
      <c r="N9" s="573"/>
      <c r="O9" s="573"/>
      <c r="P9" s="624"/>
    </row>
    <row r="10" spans="2:16" s="589" customFormat="1" ht="19.5" customHeight="1">
      <c r="B10" s="625"/>
      <c r="C10" s="654" t="s">
        <v>157</v>
      </c>
      <c r="D10" s="654"/>
      <c r="E10" s="702">
        <f>'2 (IS)'!E42</f>
        <v>984481</v>
      </c>
      <c r="F10" s="703"/>
      <c r="G10" s="703">
        <f>'2 (IS)'!G42</f>
        <v>1643033</v>
      </c>
      <c r="H10" s="703"/>
      <c r="I10" s="653">
        <f>(E10/G10-1)*100</f>
        <v>-40.081483451640963</v>
      </c>
      <c r="J10" s="704"/>
      <c r="K10" s="702">
        <f>'2 (IS)'!K42</f>
        <v>1835261</v>
      </c>
      <c r="L10" s="703"/>
      <c r="M10" s="703">
        <f>'2 (IS)'!M42</f>
        <v>2106303</v>
      </c>
      <c r="N10" s="654"/>
      <c r="O10" s="653">
        <f>(K10/M10-1)*100</f>
        <v>-12.868139104392862</v>
      </c>
      <c r="P10" s="626"/>
    </row>
    <row r="11" spans="2:16" s="566" customFormat="1" ht="19.5" customHeight="1">
      <c r="B11" s="623"/>
      <c r="C11" s="573"/>
      <c r="D11" s="573"/>
      <c r="E11" s="684"/>
      <c r="F11" s="685"/>
      <c r="G11" s="685"/>
      <c r="H11" s="685"/>
      <c r="I11" s="586"/>
      <c r="J11" s="573"/>
      <c r="K11" s="590"/>
      <c r="L11" s="683"/>
      <c r="M11" s="683"/>
      <c r="N11" s="573"/>
      <c r="O11" s="586"/>
      <c r="P11" s="624"/>
    </row>
    <row r="12" spans="2:16" s="589" customFormat="1" ht="19.5" customHeight="1">
      <c r="B12" s="625"/>
      <c r="C12" s="654" t="s">
        <v>830</v>
      </c>
      <c r="D12" s="654"/>
      <c r="E12" s="702"/>
      <c r="F12" s="703"/>
      <c r="G12" s="703"/>
      <c r="H12" s="703"/>
      <c r="I12" s="653"/>
      <c r="J12" s="654"/>
      <c r="K12" s="655"/>
      <c r="L12" s="704"/>
      <c r="M12" s="704"/>
      <c r="N12" s="654"/>
      <c r="O12" s="653"/>
      <c r="P12" s="626"/>
    </row>
    <row r="13" spans="2:16" s="589" customFormat="1" ht="19.5" customHeight="1">
      <c r="B13" s="625"/>
      <c r="C13" s="643" t="s">
        <v>434</v>
      </c>
      <c r="D13" s="643"/>
      <c r="E13" s="705">
        <v>0</v>
      </c>
      <c r="F13" s="706"/>
      <c r="G13" s="649">
        <v>0</v>
      </c>
      <c r="H13" s="706"/>
      <c r="I13" s="646">
        <v>0</v>
      </c>
      <c r="J13" s="647"/>
      <c r="K13" s="705">
        <v>-116</v>
      </c>
      <c r="L13" s="706"/>
      <c r="M13" s="649">
        <v>0</v>
      </c>
      <c r="N13" s="647"/>
      <c r="O13" s="646">
        <v>-100</v>
      </c>
      <c r="P13" s="626"/>
    </row>
    <row r="14" spans="2:16" s="589" customFormat="1" ht="19.5" hidden="1" customHeight="1">
      <c r="B14" s="625"/>
      <c r="C14" s="643" t="s">
        <v>829</v>
      </c>
      <c r="D14" s="643"/>
      <c r="E14" s="705">
        <v>0</v>
      </c>
      <c r="F14" s="706"/>
      <c r="G14" s="649">
        <v>0</v>
      </c>
      <c r="H14" s="706"/>
      <c r="I14" s="646">
        <v>0</v>
      </c>
      <c r="J14" s="647"/>
      <c r="K14" s="705"/>
      <c r="L14" s="706"/>
      <c r="M14" s="649">
        <v>0</v>
      </c>
      <c r="N14" s="647"/>
      <c r="O14" s="646">
        <v>0</v>
      </c>
      <c r="P14" s="626"/>
    </row>
    <row r="15" spans="2:16" s="686" customFormat="1" ht="33" customHeight="1">
      <c r="B15" s="715"/>
      <c r="C15" s="708" t="s">
        <v>162</v>
      </c>
      <c r="D15" s="708"/>
      <c r="E15" s="705">
        <v>50685</v>
      </c>
      <c r="F15" s="709"/>
      <c r="G15" s="649">
        <f>12310+500</f>
        <v>12810</v>
      </c>
      <c r="H15" s="709"/>
      <c r="I15" s="646">
        <v>295.7</v>
      </c>
      <c r="J15" s="710"/>
      <c r="K15" s="705">
        <v>64008</v>
      </c>
      <c r="L15" s="709"/>
      <c r="M15" s="649">
        <v>12309</v>
      </c>
      <c r="N15" s="712"/>
      <c r="O15" s="646">
        <f>-(K15/M15-1)*100</f>
        <v>-420.00974896417256</v>
      </c>
      <c r="P15" s="716"/>
    </row>
    <row r="16" spans="2:16" s="686" customFormat="1" hidden="1">
      <c r="B16" s="715"/>
      <c r="C16" s="708" t="s">
        <v>844</v>
      </c>
      <c r="D16" s="708"/>
      <c r="E16" s="705">
        <v>0</v>
      </c>
      <c r="F16" s="709"/>
      <c r="G16" s="649">
        <v>0</v>
      </c>
      <c r="H16" s="709"/>
      <c r="I16" s="646">
        <v>-100</v>
      </c>
      <c r="J16" s="710"/>
      <c r="K16" s="705">
        <f>E16</f>
        <v>0</v>
      </c>
      <c r="L16" s="709"/>
      <c r="M16" s="649">
        <v>0</v>
      </c>
      <c r="N16" s="712"/>
      <c r="O16" s="646">
        <v>-100</v>
      </c>
      <c r="P16" s="716"/>
    </row>
    <row r="17" spans="2:16" s="686" customFormat="1" ht="31.5">
      <c r="B17" s="715"/>
      <c r="C17" s="708" t="s">
        <v>877</v>
      </c>
      <c r="D17" s="708"/>
      <c r="E17" s="705">
        <v>0</v>
      </c>
      <c r="F17" s="709"/>
      <c r="G17" s="649">
        <v>0</v>
      </c>
      <c r="H17" s="709"/>
      <c r="I17" s="646">
        <v>0</v>
      </c>
      <c r="J17" s="710"/>
      <c r="K17" s="705">
        <f>-18520-150</f>
        <v>-18670</v>
      </c>
      <c r="L17" s="709"/>
      <c r="M17" s="649">
        <f>66127+400</f>
        <v>66527</v>
      </c>
      <c r="N17" s="712"/>
      <c r="O17" s="646">
        <f>(K17/M17-1)*100</f>
        <v>-128.06379364769191</v>
      </c>
      <c r="P17" s="716"/>
    </row>
    <row r="18" spans="2:16" s="686" customFormat="1" hidden="1">
      <c r="B18" s="715"/>
      <c r="C18" s="708" t="s">
        <v>876</v>
      </c>
      <c r="D18" s="708"/>
      <c r="E18" s="705">
        <v>0</v>
      </c>
      <c r="F18" s="709"/>
      <c r="G18" s="649">
        <v>0</v>
      </c>
      <c r="H18" s="709"/>
      <c r="I18" s="646">
        <v>0</v>
      </c>
      <c r="J18" s="710"/>
      <c r="K18" s="705">
        <v>0</v>
      </c>
      <c r="L18" s="709"/>
      <c r="M18" s="649">
        <v>0</v>
      </c>
      <c r="N18" s="712"/>
      <c r="O18" s="646">
        <v>100</v>
      </c>
      <c r="P18" s="716"/>
    </row>
    <row r="19" spans="2:16" s="566" customFormat="1" ht="32.25" hidden="1" customHeight="1">
      <c r="B19" s="623"/>
      <c r="C19" s="687" t="s">
        <v>93</v>
      </c>
      <c r="D19" s="687"/>
      <c r="E19" s="1690">
        <v>0</v>
      </c>
      <c r="F19" s="685"/>
      <c r="G19" s="1691">
        <v>0</v>
      </c>
      <c r="H19" s="1691"/>
      <c r="I19" s="1692">
        <v>100</v>
      </c>
      <c r="J19" s="594"/>
      <c r="K19" s="1690">
        <f>E19</f>
        <v>0</v>
      </c>
      <c r="L19" s="685"/>
      <c r="M19" s="1691">
        <v>0</v>
      </c>
      <c r="N19" s="573"/>
      <c r="O19" s="1693">
        <v>100</v>
      </c>
      <c r="P19" s="624"/>
    </row>
    <row r="20" spans="2:16" s="589" customFormat="1" ht="19.5" customHeight="1">
      <c r="B20" s="625"/>
      <c r="C20" s="699" t="s">
        <v>161</v>
      </c>
      <c r="D20" s="699"/>
      <c r="E20" s="689">
        <f>E13+E14+E15-E19+E16+E18</f>
        <v>50685</v>
      </c>
      <c r="F20" s="1489"/>
      <c r="G20" s="1489">
        <f>G13+G14+G15+G19+G16+G18</f>
        <v>12810</v>
      </c>
      <c r="H20" s="1489"/>
      <c r="I20" s="1491">
        <f>(E20/G20-1)*100</f>
        <v>295.66744730679153</v>
      </c>
      <c r="J20" s="701"/>
      <c r="K20" s="689">
        <f>K13+K14+K15-K19+K16+K18+K17</f>
        <v>45222</v>
      </c>
      <c r="L20" s="700"/>
      <c r="M20" s="1489">
        <f>M13+M14+M15+M19+M16+M18+M17</f>
        <v>78836</v>
      </c>
      <c r="N20" s="699"/>
      <c r="O20" s="611">
        <f>(K20/M20-1)*100</f>
        <v>-42.637881171038615</v>
      </c>
      <c r="P20" s="626"/>
    </row>
    <row r="21" spans="2:16" s="589" customFormat="1" ht="19.5" customHeight="1" thickBot="1">
      <c r="B21" s="625"/>
      <c r="C21" s="601" t="s">
        <v>159</v>
      </c>
      <c r="D21" s="601"/>
      <c r="E21" s="691">
        <f>E10+E20</f>
        <v>1035166</v>
      </c>
      <c r="F21" s="1458"/>
      <c r="G21" s="1458">
        <f>G10+G20</f>
        <v>1655843</v>
      </c>
      <c r="H21" s="1458"/>
      <c r="I21" s="1695">
        <f>(E21/G21-1)*100</f>
        <v>-37.48404891043414</v>
      </c>
      <c r="J21" s="697"/>
      <c r="K21" s="691">
        <f>K10+K20</f>
        <v>1880483</v>
      </c>
      <c r="L21" s="696"/>
      <c r="M21" s="1458">
        <f>M10+M20</f>
        <v>2185139</v>
      </c>
      <c r="N21" s="601"/>
      <c r="O21" s="604">
        <f>(K21/M21-1)*100</f>
        <v>-13.942179421995583</v>
      </c>
      <c r="P21" s="626"/>
    </row>
    <row r="22" spans="2:16" s="589" customFormat="1" ht="19.5" customHeight="1">
      <c r="B22" s="625"/>
      <c r="C22" s="570"/>
      <c r="D22" s="570"/>
      <c r="E22" s="1694"/>
      <c r="F22" s="682"/>
      <c r="G22" s="1460"/>
      <c r="H22" s="682"/>
      <c r="I22" s="586"/>
      <c r="J22" s="693"/>
      <c r="K22" s="1694"/>
      <c r="L22" s="682"/>
      <c r="M22" s="1460"/>
      <c r="N22" s="570"/>
      <c r="O22" s="586"/>
      <c r="P22" s="626"/>
    </row>
    <row r="23" spans="2:16" s="589" customFormat="1" ht="19.5" customHeight="1">
      <c r="B23" s="625"/>
      <c r="C23" s="1444" t="s">
        <v>91</v>
      </c>
      <c r="D23" s="1444"/>
      <c r="E23" s="1448"/>
      <c r="F23" s="1449"/>
      <c r="G23" s="1449"/>
      <c r="H23" s="1449"/>
      <c r="I23" s="1449"/>
      <c r="J23" s="1449"/>
      <c r="K23" s="1448"/>
      <c r="L23" s="1449"/>
      <c r="M23" s="1449"/>
      <c r="N23" s="1450"/>
      <c r="O23" s="1451"/>
      <c r="P23" s="626"/>
    </row>
    <row r="24" spans="2:16" s="589" customFormat="1" ht="19.5" customHeight="1">
      <c r="B24" s="625"/>
      <c r="C24" s="1445" t="s">
        <v>917</v>
      </c>
      <c r="D24" s="1445"/>
      <c r="E24" s="1452">
        <f>E20-E25</f>
        <v>50685</v>
      </c>
      <c r="F24" s="1453"/>
      <c r="G24" s="1453">
        <f>G20-G25</f>
        <v>12810</v>
      </c>
      <c r="H24" s="1453"/>
      <c r="I24" s="1454">
        <f>(E24/G24-1)*100</f>
        <v>295.66744730679153</v>
      </c>
      <c r="J24" s="1453"/>
      <c r="K24" s="1452">
        <f>K20-K25</f>
        <v>41891</v>
      </c>
      <c r="L24" s="1453"/>
      <c r="M24" s="1453">
        <f>M20-M25</f>
        <v>78836</v>
      </c>
      <c r="N24" s="1453"/>
      <c r="O24" s="1454">
        <f>(K24/M24-1)*100</f>
        <v>-46.863108224668935</v>
      </c>
      <c r="P24" s="626"/>
    </row>
    <row r="25" spans="2:16" s="589" customFormat="1" ht="19.5" customHeight="1">
      <c r="B25" s="625"/>
      <c r="C25" s="1446" t="s">
        <v>916</v>
      </c>
      <c r="D25" s="1446"/>
      <c r="E25" s="1455">
        <v>0</v>
      </c>
      <c r="F25" s="1450"/>
      <c r="G25" s="1450">
        <v>0</v>
      </c>
      <c r="H25" s="1450"/>
      <c r="I25" s="1456">
        <v>0</v>
      </c>
      <c r="J25" s="1450"/>
      <c r="K25" s="1455">
        <v>3331</v>
      </c>
      <c r="L25" s="1450"/>
      <c r="M25" s="1450">
        <v>0</v>
      </c>
      <c r="N25" s="1450"/>
      <c r="O25" s="1454">
        <v>100</v>
      </c>
      <c r="P25" s="626"/>
    </row>
    <row r="26" spans="2:16" s="589" customFormat="1" ht="23.25" customHeight="1">
      <c r="B26" s="1461"/>
      <c r="C26" s="1462" t="s">
        <v>161</v>
      </c>
      <c r="D26" s="1462"/>
      <c r="E26" s="689">
        <f>SUM(E24:E25)</f>
        <v>50685</v>
      </c>
      <c r="F26" s="700"/>
      <c r="G26" s="1489">
        <f>SUM(G24:G25)</f>
        <v>12810</v>
      </c>
      <c r="H26" s="700"/>
      <c r="I26" s="1463">
        <f>(E26/G26-1)*100</f>
        <v>295.66744730679153</v>
      </c>
      <c r="J26" s="1464"/>
      <c r="K26" s="689">
        <f>SUM(K24:K25)</f>
        <v>45222</v>
      </c>
      <c r="L26" s="700"/>
      <c r="M26" s="1489">
        <f>SUM(M24:M25)</f>
        <v>78836</v>
      </c>
      <c r="N26" s="700"/>
      <c r="O26" s="1463">
        <f>(K26/M26-1)*100</f>
        <v>-42.637881171038615</v>
      </c>
      <c r="P26" s="626"/>
    </row>
    <row r="27" spans="2:16" s="566" customFormat="1" ht="19.5" customHeight="1" thickBot="1">
      <c r="B27" s="623"/>
      <c r="C27" s="1447" t="s">
        <v>159</v>
      </c>
      <c r="D27" s="1447"/>
      <c r="E27" s="1457">
        <f>E10+E26</f>
        <v>1035166</v>
      </c>
      <c r="F27" s="1458"/>
      <c r="G27" s="1458">
        <f>G10+G26</f>
        <v>1655843</v>
      </c>
      <c r="H27" s="1458"/>
      <c r="I27" s="1459">
        <f>(E27/G27-1)*100</f>
        <v>-37.48404891043414</v>
      </c>
      <c r="J27" s="1458"/>
      <c r="K27" s="1457">
        <f>K10+K26</f>
        <v>1880483</v>
      </c>
      <c r="L27" s="1458"/>
      <c r="M27" s="1458">
        <f>M10+M26</f>
        <v>2185139</v>
      </c>
      <c r="N27" s="1458"/>
      <c r="O27" s="1459">
        <f>(K27/M27-1)*100</f>
        <v>-13.942179421995583</v>
      </c>
      <c r="P27" s="624"/>
    </row>
    <row r="28" spans="2:16" s="589" customFormat="1" ht="9.75" customHeight="1" thickBot="1">
      <c r="B28" s="625"/>
      <c r="C28" s="570"/>
      <c r="D28" s="570"/>
      <c r="E28" s="694"/>
      <c r="F28" s="682"/>
      <c r="G28" s="1460"/>
      <c r="H28" s="682"/>
      <c r="I28" s="586"/>
      <c r="J28" s="693"/>
      <c r="K28" s="695"/>
      <c r="L28" s="683"/>
      <c r="M28" s="683"/>
      <c r="N28" s="570"/>
      <c r="O28" s="586"/>
      <c r="P28" s="626"/>
    </row>
    <row r="29" spans="2:16" s="566" customFormat="1" ht="9" customHeight="1">
      <c r="B29" s="623"/>
      <c r="C29" s="573"/>
      <c r="D29" s="573"/>
      <c r="E29" s="573"/>
      <c r="F29" s="573"/>
      <c r="G29" s="573"/>
      <c r="H29" s="573"/>
      <c r="I29" s="573"/>
      <c r="J29" s="573"/>
      <c r="K29" s="573"/>
      <c r="L29" s="573"/>
      <c r="M29" s="573"/>
      <c r="N29" s="573"/>
      <c r="O29" s="586"/>
      <c r="P29" s="624"/>
    </row>
    <row r="30" spans="2:16" s="566" customFormat="1" ht="19.5" customHeight="1">
      <c r="B30" s="623"/>
      <c r="C30" s="1388" t="s">
        <v>146</v>
      </c>
      <c r="D30" s="573"/>
      <c r="E30" s="573"/>
      <c r="F30" s="573"/>
      <c r="G30" s="573"/>
      <c r="H30" s="573"/>
      <c r="I30" s="573"/>
      <c r="J30" s="573"/>
      <c r="K30" s="573"/>
      <c r="L30" s="573"/>
      <c r="M30" s="573"/>
      <c r="N30" s="573"/>
      <c r="O30" s="573"/>
      <c r="P30" s="624"/>
    </row>
    <row r="31" spans="2:16" s="566" customFormat="1" ht="18.75" customHeight="1">
      <c r="B31" s="623"/>
      <c r="C31" s="1388" t="s">
        <v>177</v>
      </c>
      <c r="D31" s="573"/>
      <c r="E31" s="573"/>
      <c r="F31" s="573"/>
      <c r="G31" s="573"/>
      <c r="H31" s="573"/>
      <c r="I31" s="573"/>
      <c r="J31" s="573"/>
      <c r="K31" s="573"/>
      <c r="L31" s="573"/>
      <c r="M31" s="573"/>
      <c r="N31" s="573"/>
      <c r="O31" s="573"/>
      <c r="P31" s="624"/>
    </row>
    <row r="32" spans="2:16" ht="16.5" thickBot="1">
      <c r="B32" s="635"/>
      <c r="C32" s="17"/>
      <c r="D32" s="17"/>
      <c r="E32" s="17"/>
      <c r="F32" s="17"/>
      <c r="G32" s="17"/>
      <c r="H32" s="17"/>
      <c r="I32" s="17"/>
      <c r="J32" s="17"/>
      <c r="K32" s="17"/>
      <c r="L32" s="17"/>
      <c r="M32" s="17"/>
      <c r="N32" s="17"/>
      <c r="O32" s="17"/>
      <c r="P32" s="638"/>
    </row>
  </sheetData>
  <mergeCells count="3">
    <mergeCell ref="B1:P1"/>
    <mergeCell ref="E4:I4"/>
    <mergeCell ref="K4:O4"/>
  </mergeCells>
  <pageMargins left="0.5" right="0.28999999999999998" top="0.75" bottom="0.75" header="0.3" footer="0.3"/>
  <pageSetup paperSize="9" scale="66" orientation="portrait" r:id="rId1"/>
  <headerFooter>
    <oddFooter xml:space="preserve">&amp;C&amp;"Book Antiqua,Regular"&amp;12 </oddFooter>
  </headerFooter>
</worksheet>
</file>

<file path=xl/worksheets/sheet7.xml><?xml version="1.0" encoding="utf-8"?>
<worksheet xmlns="http://schemas.openxmlformats.org/spreadsheetml/2006/main" xmlns:r="http://schemas.openxmlformats.org/officeDocument/2006/relationships">
  <sheetPr>
    <tabColor rgb="FFFF0000"/>
  </sheetPr>
  <dimension ref="A1:K328"/>
  <sheetViews>
    <sheetView view="pageBreakPreview" zoomScaleSheetLayoutView="100" workbookViewId="0">
      <selection activeCell="B5" sqref="B5:E69"/>
    </sheetView>
  </sheetViews>
  <sheetFormatPr defaultRowHeight="15.75"/>
  <cols>
    <col min="1" max="1" width="2.7109375" style="1501" customWidth="1"/>
    <col min="2" max="2" width="51.85546875" style="1501" customWidth="1"/>
    <col min="3" max="5" width="14.7109375" style="1501" customWidth="1"/>
    <col min="6" max="6" width="1.85546875" style="1501" customWidth="1"/>
    <col min="7" max="16384" width="9.140625" style="1501"/>
  </cols>
  <sheetData>
    <row r="1" spans="1:11" ht="6.75" customHeight="1"/>
    <row r="2" spans="1:11" ht="16.5">
      <c r="B2" s="1717" t="s">
        <v>56</v>
      </c>
      <c r="C2" s="1717"/>
      <c r="D2" s="1717"/>
      <c r="E2" s="1717"/>
      <c r="F2" s="1614"/>
      <c r="H2" s="1500"/>
      <c r="I2" s="1500"/>
      <c r="J2" s="1500"/>
      <c r="K2" s="1500"/>
    </row>
    <row r="3" spans="1:11" ht="4.5" customHeight="1" thickBot="1">
      <c r="B3" s="1644"/>
      <c r="C3" s="1644"/>
      <c r="D3" s="1644"/>
      <c r="E3" s="1644"/>
      <c r="F3" s="1614"/>
      <c r="H3" s="1500"/>
      <c r="I3" s="1500"/>
      <c r="J3" s="1500"/>
      <c r="K3" s="1500"/>
    </row>
    <row r="4" spans="1:11" ht="5.25" customHeight="1">
      <c r="A4" s="1580"/>
      <c r="B4" s="1581"/>
      <c r="C4" s="1581"/>
      <c r="D4" s="1581"/>
      <c r="E4" s="1581"/>
      <c r="F4" s="1582"/>
      <c r="H4" s="1524"/>
      <c r="I4" s="1589"/>
      <c r="J4" s="1500"/>
      <c r="K4" s="1500"/>
    </row>
    <row r="5" spans="1:11" ht="17.25" thickBot="1">
      <c r="A5" s="1583"/>
      <c r="B5" s="1615" t="s">
        <v>965</v>
      </c>
      <c r="C5" s="1645"/>
      <c r="D5" s="1645"/>
      <c r="E5" s="1645"/>
      <c r="F5" s="1646"/>
      <c r="H5" s="1589"/>
      <c r="I5" s="1589"/>
      <c r="J5" s="1500"/>
      <c r="K5" s="1500"/>
    </row>
    <row r="6" spans="1:11" ht="6.75" customHeight="1">
      <c r="A6" s="1583"/>
      <c r="B6" s="1524"/>
      <c r="C6" s="1647"/>
      <c r="D6" s="1647"/>
      <c r="E6" s="1647"/>
      <c r="F6" s="1646"/>
      <c r="H6" s="1589"/>
      <c r="I6" s="1589"/>
      <c r="J6" s="1500"/>
      <c r="K6" s="1500"/>
    </row>
    <row r="7" spans="1:11" ht="16.5">
      <c r="A7" s="1583"/>
      <c r="B7" s="1718" t="s">
        <v>216</v>
      </c>
      <c r="C7" s="1648" t="s">
        <v>57</v>
      </c>
      <c r="D7" s="1648" t="s">
        <v>58</v>
      </c>
      <c r="E7" s="1649" t="s">
        <v>59</v>
      </c>
      <c r="F7" s="1650"/>
      <c r="H7" s="1589"/>
      <c r="I7" s="1589"/>
      <c r="J7" s="1500"/>
      <c r="K7" s="1500"/>
    </row>
    <row r="8" spans="1:11" ht="16.5">
      <c r="A8" s="1583"/>
      <c r="B8" s="1719"/>
      <c r="C8" s="1651" t="s">
        <v>19</v>
      </c>
      <c r="D8" s="1651" t="s">
        <v>19</v>
      </c>
      <c r="E8" s="1652" t="s">
        <v>19</v>
      </c>
      <c r="F8" s="1650"/>
      <c r="H8" s="1589"/>
      <c r="I8" s="1589"/>
      <c r="J8" s="1500"/>
      <c r="K8" s="1500"/>
    </row>
    <row r="9" spans="1:11" ht="15.75" hidden="1" customHeight="1">
      <c r="A9" s="1583"/>
      <c r="B9" s="1503" t="s">
        <v>871</v>
      </c>
      <c r="C9" s="1714" t="s">
        <v>606</v>
      </c>
      <c r="D9" s="1715"/>
      <c r="E9" s="1716"/>
      <c r="F9" s="1130"/>
      <c r="H9" s="1500"/>
      <c r="I9" s="1500"/>
      <c r="J9" s="1500"/>
      <c r="K9" s="1500"/>
    </row>
    <row r="10" spans="1:11" ht="15.75" hidden="1" customHeight="1">
      <c r="A10" s="1583"/>
      <c r="B10" s="1653" t="s">
        <v>836</v>
      </c>
      <c r="C10" s="1720" t="s">
        <v>606</v>
      </c>
      <c r="D10" s="1721"/>
      <c r="E10" s="1722"/>
      <c r="F10" s="1131"/>
    </row>
    <row r="11" spans="1:11" ht="15.75" hidden="1" customHeight="1">
      <c r="A11" s="1583"/>
      <c r="B11" s="1653" t="s">
        <v>837</v>
      </c>
      <c r="C11" s="1720" t="s">
        <v>606</v>
      </c>
      <c r="D11" s="1721"/>
      <c r="E11" s="1722"/>
      <c r="F11" s="1131"/>
    </row>
    <row r="12" spans="1:11" ht="15.75" hidden="1" customHeight="1">
      <c r="A12" s="1583"/>
      <c r="B12" s="1503" t="s">
        <v>838</v>
      </c>
      <c r="C12" s="1714" t="s">
        <v>606</v>
      </c>
      <c r="D12" s="1715"/>
      <c r="E12" s="1716"/>
      <c r="F12" s="1131"/>
    </row>
    <row r="13" spans="1:11" ht="1.5" hidden="1" customHeight="1">
      <c r="A13" s="1583"/>
      <c r="B13" s="1503" t="s">
        <v>839</v>
      </c>
      <c r="C13" s="1714" t="s">
        <v>606</v>
      </c>
      <c r="D13" s="1715"/>
      <c r="E13" s="1716"/>
      <c r="F13" s="1131"/>
    </row>
    <row r="14" spans="1:11" s="1655" customFormat="1" ht="15.75" hidden="1" customHeight="1">
      <c r="A14" s="918"/>
      <c r="B14" s="1654" t="s">
        <v>852</v>
      </c>
      <c r="C14" s="1714" t="s">
        <v>606</v>
      </c>
      <c r="D14" s="1715"/>
      <c r="E14" s="1716"/>
      <c r="F14" s="1131"/>
    </row>
    <row r="15" spans="1:11" s="1655" customFormat="1" ht="15.75" customHeight="1">
      <c r="A15" s="918"/>
      <c r="B15" s="1654" t="s">
        <v>853</v>
      </c>
      <c r="C15" s="1714" t="s">
        <v>606</v>
      </c>
      <c r="D15" s="1715"/>
      <c r="E15" s="1716"/>
      <c r="F15" s="1131"/>
    </row>
    <row r="16" spans="1:11" ht="15.75" hidden="1" customHeight="1">
      <c r="A16" s="1583"/>
      <c r="B16" s="1654" t="s">
        <v>861</v>
      </c>
      <c r="C16" s="1714" t="s">
        <v>606</v>
      </c>
      <c r="D16" s="1715"/>
      <c r="E16" s="1716"/>
      <c r="F16" s="1131"/>
    </row>
    <row r="17" spans="1:6" ht="15.75" customHeight="1">
      <c r="A17" s="1583"/>
      <c r="B17" s="1654" t="s">
        <v>862</v>
      </c>
      <c r="C17" s="1714" t="s">
        <v>606</v>
      </c>
      <c r="D17" s="1715"/>
      <c r="E17" s="1716"/>
      <c r="F17" s="1131"/>
    </row>
    <row r="18" spans="1:6" ht="15.75" customHeight="1">
      <c r="A18" s="1583"/>
      <c r="B18" s="1654" t="s">
        <v>863</v>
      </c>
      <c r="C18" s="1714" t="s">
        <v>606</v>
      </c>
      <c r="D18" s="1715"/>
      <c r="E18" s="1716"/>
      <c r="F18" s="1131"/>
    </row>
    <row r="19" spans="1:6" ht="15.75" customHeight="1">
      <c r="A19" s="1583"/>
      <c r="B19" s="1654" t="s">
        <v>872</v>
      </c>
      <c r="C19" s="1714" t="s">
        <v>606</v>
      </c>
      <c r="D19" s="1715"/>
      <c r="E19" s="1716"/>
      <c r="F19" s="1131"/>
    </row>
    <row r="20" spans="1:6" ht="15.75" customHeight="1">
      <c r="A20" s="1583"/>
      <c r="B20" s="1654" t="s">
        <v>873</v>
      </c>
      <c r="C20" s="1714" t="s">
        <v>606</v>
      </c>
      <c r="D20" s="1715"/>
      <c r="E20" s="1716"/>
      <c r="F20" s="1131"/>
    </row>
    <row r="21" spans="1:6" ht="4.5" hidden="1" customHeight="1">
      <c r="A21" s="1583"/>
      <c r="B21" s="1656"/>
      <c r="C21" s="1060"/>
      <c r="D21" s="1060"/>
      <c r="E21" s="1061"/>
      <c r="F21" s="1119"/>
    </row>
    <row r="22" spans="1:6" ht="16.5" hidden="1">
      <c r="A22" s="1583"/>
      <c r="B22" s="1524" t="s">
        <v>392</v>
      </c>
      <c r="C22" s="1060"/>
      <c r="D22" s="1060"/>
      <c r="E22" s="1061"/>
      <c r="F22" s="1119"/>
    </row>
    <row r="23" spans="1:6" ht="16.5" hidden="1">
      <c r="A23" s="1583"/>
      <c r="B23" s="1718" t="s">
        <v>216</v>
      </c>
      <c r="C23" s="1657" t="s">
        <v>57</v>
      </c>
      <c r="D23" s="1657" t="s">
        <v>58</v>
      </c>
      <c r="E23" s="1658" t="s">
        <v>59</v>
      </c>
      <c r="F23" s="1650"/>
    </row>
    <row r="24" spans="1:6" ht="16.5" hidden="1">
      <c r="A24" s="1583"/>
      <c r="B24" s="1719"/>
      <c r="C24" s="1659" t="s">
        <v>19</v>
      </c>
      <c r="D24" s="1659" t="s">
        <v>19</v>
      </c>
      <c r="E24" s="1660" t="s">
        <v>19</v>
      </c>
      <c r="F24" s="1650"/>
    </row>
    <row r="25" spans="1:6" hidden="1">
      <c r="A25" s="1583"/>
      <c r="B25" s="1503" t="s">
        <v>60</v>
      </c>
      <c r="C25" s="1724" t="s">
        <v>215</v>
      </c>
      <c r="D25" s="1725"/>
      <c r="E25" s="1726"/>
      <c r="F25" s="1133"/>
    </row>
    <row r="26" spans="1:6" hidden="1">
      <c r="A26" s="1583"/>
      <c r="B26" s="1503" t="s">
        <v>61</v>
      </c>
      <c r="C26" s="1058">
        <v>107</v>
      </c>
      <c r="D26" s="1058">
        <v>107</v>
      </c>
      <c r="E26" s="1062">
        <v>107</v>
      </c>
      <c r="F26" s="1134"/>
    </row>
    <row r="27" spans="1:6" hidden="1">
      <c r="A27" s="1583"/>
      <c r="B27" s="1503" t="s">
        <v>62</v>
      </c>
      <c r="C27" s="1727" t="s">
        <v>215</v>
      </c>
      <c r="D27" s="1728"/>
      <c r="E27" s="1729"/>
      <c r="F27" s="1133"/>
    </row>
    <row r="28" spans="1:6" ht="9" customHeight="1">
      <c r="A28" s="1583"/>
      <c r="B28" s="1656"/>
      <c r="C28" s="1060"/>
      <c r="D28" s="1060"/>
      <c r="E28" s="1061"/>
      <c r="F28" s="1119"/>
    </row>
    <row r="29" spans="1:6" ht="7.5" customHeight="1">
      <c r="A29" s="1583"/>
      <c r="B29" s="1656"/>
      <c r="C29" s="1060"/>
      <c r="D29" s="1060"/>
      <c r="E29" s="1061"/>
      <c r="F29" s="1119"/>
    </row>
    <row r="30" spans="1:6" ht="17.25" thickBot="1">
      <c r="A30" s="1583"/>
      <c r="B30" s="1661" t="s">
        <v>63</v>
      </c>
      <c r="C30" s="1197"/>
      <c r="D30" s="1197"/>
      <c r="E30" s="1198"/>
      <c r="F30" s="1119"/>
    </row>
    <row r="31" spans="1:6" ht="6.75" customHeight="1">
      <c r="A31" s="1583"/>
      <c r="B31" s="1662"/>
      <c r="C31" s="1060"/>
      <c r="D31" s="1060"/>
      <c r="E31" s="1061"/>
      <c r="F31" s="1119"/>
    </row>
    <row r="32" spans="1:6" ht="49.5" customHeight="1">
      <c r="A32" s="1583"/>
      <c r="B32" s="1663" t="s">
        <v>216</v>
      </c>
      <c r="C32" s="1664"/>
      <c r="D32" s="1066" t="s">
        <v>840</v>
      </c>
      <c r="E32" s="1066" t="s">
        <v>841</v>
      </c>
      <c r="F32" s="1136"/>
    </row>
    <row r="33" spans="1:6" hidden="1">
      <c r="A33" s="1583"/>
      <c r="B33" s="1665" t="s">
        <v>874</v>
      </c>
      <c r="C33" s="1664"/>
      <c r="D33" s="1068">
        <v>16.5</v>
      </c>
      <c r="E33" s="1068">
        <v>17.18</v>
      </c>
      <c r="F33" s="1133"/>
    </row>
    <row r="34" spans="1:6" hidden="1">
      <c r="A34" s="1583"/>
      <c r="B34" s="1666" t="s">
        <v>842</v>
      </c>
      <c r="C34" s="1667"/>
      <c r="D34" s="1468">
        <v>16.75</v>
      </c>
      <c r="E34" s="1468">
        <v>17.45</v>
      </c>
      <c r="F34" s="1133"/>
    </row>
    <row r="35" spans="1:6" hidden="1">
      <c r="A35" s="1583"/>
      <c r="B35" s="1666" t="s">
        <v>837</v>
      </c>
      <c r="C35" s="1667"/>
      <c r="D35" s="1468">
        <v>17</v>
      </c>
      <c r="E35" s="1468">
        <v>17</v>
      </c>
      <c r="F35" s="1133"/>
    </row>
    <row r="36" spans="1:6" hidden="1">
      <c r="A36" s="1583"/>
      <c r="B36" s="1665" t="s">
        <v>838</v>
      </c>
      <c r="C36" s="1664"/>
      <c r="D36" s="1068">
        <v>8.75</v>
      </c>
      <c r="E36" s="1068">
        <v>8.75</v>
      </c>
      <c r="F36" s="1133"/>
    </row>
    <row r="37" spans="1:6" ht="1.5" hidden="1" customHeight="1">
      <c r="A37" s="1583"/>
      <c r="B37" s="1665" t="s">
        <v>839</v>
      </c>
      <c r="C37" s="1664"/>
      <c r="D37" s="1068">
        <v>9.6300000000000008</v>
      </c>
      <c r="E37" s="1068">
        <v>9.6300000000000008</v>
      </c>
      <c r="F37" s="1133"/>
    </row>
    <row r="38" spans="1:6" hidden="1">
      <c r="A38" s="1583"/>
      <c r="B38" s="1665" t="s">
        <v>852</v>
      </c>
      <c r="C38" s="1664"/>
      <c r="D38" s="1068">
        <v>9.6</v>
      </c>
      <c r="E38" s="1068">
        <v>9.83</v>
      </c>
      <c r="F38" s="1133"/>
    </row>
    <row r="39" spans="1:6">
      <c r="A39" s="1583"/>
      <c r="B39" s="1665" t="s">
        <v>853</v>
      </c>
      <c r="C39" s="1664"/>
      <c r="D39" s="1068">
        <v>9.9499999999999993</v>
      </c>
      <c r="E39" s="1068">
        <v>9.9499999999999993</v>
      </c>
      <c r="F39" s="1133"/>
    </row>
    <row r="40" spans="1:6" hidden="1">
      <c r="A40" s="1583"/>
      <c r="B40" s="1668" t="s">
        <v>861</v>
      </c>
      <c r="C40" s="1669"/>
      <c r="D40" s="1068">
        <v>11.9</v>
      </c>
      <c r="E40" s="1068">
        <v>12.25</v>
      </c>
      <c r="F40" s="1133"/>
    </row>
    <row r="41" spans="1:6">
      <c r="A41" s="1583"/>
      <c r="B41" s="1668" t="s">
        <v>862</v>
      </c>
      <c r="C41" s="1669"/>
      <c r="D41" s="1068">
        <v>12.25</v>
      </c>
      <c r="E41" s="1068">
        <v>12.63</v>
      </c>
      <c r="F41" s="1133"/>
    </row>
    <row r="42" spans="1:6">
      <c r="A42" s="1583"/>
      <c r="B42" s="1668" t="s">
        <v>863</v>
      </c>
      <c r="C42" s="1669"/>
      <c r="D42" s="1068">
        <v>12.6</v>
      </c>
      <c r="E42" s="1068">
        <v>13</v>
      </c>
      <c r="F42" s="1133"/>
    </row>
    <row r="43" spans="1:6">
      <c r="A43" s="1583"/>
      <c r="B43" s="1668" t="s">
        <v>872</v>
      </c>
      <c r="C43" s="1669"/>
      <c r="D43" s="1068">
        <v>12.4</v>
      </c>
      <c r="E43" s="1068">
        <v>12.4</v>
      </c>
      <c r="F43" s="1133"/>
    </row>
    <row r="44" spans="1:6">
      <c r="A44" s="1583"/>
      <c r="B44" s="1668" t="s">
        <v>873</v>
      </c>
      <c r="C44" s="1669"/>
      <c r="D44" s="1068">
        <v>12.8</v>
      </c>
      <c r="E44" s="1068">
        <v>12.8</v>
      </c>
      <c r="F44" s="1133"/>
    </row>
    <row r="45" spans="1:6" ht="9.75" customHeight="1">
      <c r="A45" s="1583"/>
      <c r="B45" s="1656"/>
      <c r="C45" s="1060"/>
      <c r="D45" s="1060"/>
      <c r="E45" s="1061"/>
      <c r="F45" s="1119"/>
    </row>
    <row r="46" spans="1:6" ht="17.25" thickBot="1">
      <c r="A46" s="1583"/>
      <c r="B46" s="1615" t="s">
        <v>399</v>
      </c>
      <c r="C46" s="1197"/>
      <c r="D46" s="1197"/>
      <c r="E46" s="1198"/>
      <c r="F46" s="1119"/>
    </row>
    <row r="47" spans="1:6" ht="16.5">
      <c r="A47" s="1583"/>
      <c r="B47" s="1670" t="s">
        <v>66</v>
      </c>
      <c r="C47" s="1671">
        <v>4.6399999999999997E-2</v>
      </c>
      <c r="D47" s="1671"/>
      <c r="E47" s="1201"/>
      <c r="F47" s="1120"/>
    </row>
    <row r="48" spans="1:6" ht="16.5">
      <c r="A48" s="1583"/>
      <c r="B48" s="1594" t="s">
        <v>67</v>
      </c>
      <c r="C48" s="1672">
        <v>4.8800000000000003E-2</v>
      </c>
      <c r="D48" s="1672"/>
      <c r="E48" s="1111"/>
      <c r="F48" s="1120"/>
    </row>
    <row r="49" spans="1:6" ht="16.5" hidden="1">
      <c r="A49" s="1583"/>
      <c r="B49" s="1594" t="s">
        <v>845</v>
      </c>
      <c r="C49" s="1673">
        <v>9.7900000000000001E-2</v>
      </c>
      <c r="D49" s="1674"/>
      <c r="E49" s="1111"/>
      <c r="F49" s="1120"/>
    </row>
    <row r="50" spans="1:6" ht="20.25" customHeight="1">
      <c r="A50" s="1583"/>
      <c r="B50" s="1594" t="s">
        <v>846</v>
      </c>
      <c r="C50" s="1672">
        <v>5.7200000000000001E-2</v>
      </c>
      <c r="D50" s="1672"/>
      <c r="E50" s="1111"/>
      <c r="F50" s="1120"/>
    </row>
    <row r="51" spans="1:6" ht="17.25" hidden="1" customHeight="1">
      <c r="A51" s="1583"/>
      <c r="B51" s="1594" t="s">
        <v>461</v>
      </c>
      <c r="C51" s="1672"/>
      <c r="D51" s="1674"/>
      <c r="E51" s="1675"/>
      <c r="F51" s="1676"/>
    </row>
    <row r="52" spans="1:6" ht="16.5">
      <c r="A52" s="1583"/>
      <c r="B52" s="1534" t="s">
        <v>68</v>
      </c>
      <c r="C52" s="1677">
        <v>6.5699999999999995E-2</v>
      </c>
      <c r="D52" s="1678"/>
      <c r="E52" s="1679"/>
      <c r="F52" s="1590"/>
    </row>
    <row r="53" spans="1:6" ht="16.5" hidden="1">
      <c r="A53" s="1583"/>
      <c r="B53" s="1594" t="s">
        <v>875</v>
      </c>
      <c r="C53" s="1677"/>
      <c r="D53" s="1680"/>
      <c r="E53" s="1679"/>
      <c r="F53" s="1590"/>
    </row>
    <row r="54" spans="1:6" ht="6.75" customHeight="1">
      <c r="A54" s="1583"/>
      <c r="B54" s="1524"/>
      <c r="C54" s="1502"/>
      <c r="D54" s="1502"/>
      <c r="E54" s="1531"/>
      <c r="F54" s="1590"/>
    </row>
    <row r="55" spans="1:6" ht="17.25" thickBot="1">
      <c r="A55" s="1583"/>
      <c r="B55" s="1615" t="s">
        <v>397</v>
      </c>
      <c r="C55" s="1210"/>
      <c r="D55" s="1210"/>
      <c r="E55" s="1211"/>
      <c r="F55" s="1118"/>
    </row>
    <row r="56" spans="1:6" ht="6" customHeight="1">
      <c r="A56" s="1583"/>
      <c r="B56" s="1524"/>
      <c r="C56" s="905"/>
      <c r="D56" s="905"/>
      <c r="E56" s="1089"/>
      <c r="F56" s="1118"/>
    </row>
    <row r="57" spans="1:6" ht="48" customHeight="1">
      <c r="A57" s="1583"/>
      <c r="B57" s="1681" t="s">
        <v>216</v>
      </c>
      <c r="C57" s="1664"/>
      <c r="D57" s="1682" t="s">
        <v>398</v>
      </c>
      <c r="E57" s="1682" t="s">
        <v>401</v>
      </c>
      <c r="F57" s="1683"/>
    </row>
    <row r="58" spans="1:6" hidden="1">
      <c r="A58" s="1583"/>
      <c r="B58" s="1665" t="s">
        <v>871</v>
      </c>
      <c r="C58" s="1664"/>
      <c r="D58" s="1415">
        <v>0.161</v>
      </c>
      <c r="E58" s="1416">
        <v>0.10100000000000001</v>
      </c>
      <c r="F58" s="1417"/>
    </row>
    <row r="59" spans="1:6" ht="15.75" hidden="1" customHeight="1">
      <c r="A59" s="1583"/>
      <c r="B59" s="1666" t="s">
        <v>836</v>
      </c>
      <c r="C59" s="1667"/>
      <c r="D59" s="1469">
        <v>0.1588</v>
      </c>
      <c r="E59" s="1470">
        <v>0.12479999999999999</v>
      </c>
      <c r="F59" s="1417"/>
    </row>
    <row r="60" spans="1:6" ht="15.75" hidden="1" customHeight="1">
      <c r="A60" s="1583"/>
      <c r="B60" s="1666" t="s">
        <v>837</v>
      </c>
      <c r="C60" s="1667"/>
      <c r="D60" s="1469">
        <v>0.15809999999999999</v>
      </c>
      <c r="E60" s="1470">
        <v>0.11219999999999999</v>
      </c>
      <c r="F60" s="1417"/>
    </row>
    <row r="61" spans="1:6" hidden="1">
      <c r="A61" s="1583"/>
      <c r="B61" s="1665" t="s">
        <v>838</v>
      </c>
      <c r="C61" s="1664"/>
      <c r="D61" s="1418">
        <v>8.5900000000000004E-2</v>
      </c>
      <c r="E61" s="1416">
        <v>7.9699999999999993E-2</v>
      </c>
      <c r="F61" s="1417"/>
    </row>
    <row r="62" spans="1:6" hidden="1">
      <c r="A62" s="1583"/>
      <c r="B62" s="1665" t="s">
        <v>839</v>
      </c>
      <c r="C62" s="1664"/>
      <c r="D62" s="1471">
        <f>D37</f>
        <v>9.6300000000000008</v>
      </c>
      <c r="E62" s="1472">
        <f>D62</f>
        <v>9.6300000000000008</v>
      </c>
      <c r="F62" s="1417"/>
    </row>
    <row r="63" spans="1:6" hidden="1">
      <c r="A63" s="1583"/>
      <c r="B63" s="1665" t="s">
        <v>852</v>
      </c>
      <c r="C63" s="1664"/>
      <c r="D63" s="1471">
        <f t="shared" ref="D63:D69" si="0">D38</f>
        <v>9.6</v>
      </c>
      <c r="E63" s="1472">
        <f t="shared" ref="E63:E69" si="1">D63</f>
        <v>9.6</v>
      </c>
      <c r="F63" s="1417"/>
    </row>
    <row r="64" spans="1:6">
      <c r="A64" s="1583"/>
      <c r="B64" s="1665" t="s">
        <v>853</v>
      </c>
      <c r="C64" s="1664"/>
      <c r="D64" s="1471">
        <f>D39</f>
        <v>9.9499999999999993</v>
      </c>
      <c r="E64" s="1472">
        <f t="shared" si="1"/>
        <v>9.9499999999999993</v>
      </c>
      <c r="F64" s="1417"/>
    </row>
    <row r="65" spans="1:6" hidden="1">
      <c r="A65" s="1583"/>
      <c r="B65" s="1668" t="s">
        <v>861</v>
      </c>
      <c r="C65" s="1669"/>
      <c r="D65" s="1471">
        <f t="shared" si="0"/>
        <v>11.9</v>
      </c>
      <c r="E65" s="1472">
        <f t="shared" si="1"/>
        <v>11.9</v>
      </c>
      <c r="F65" s="1417"/>
    </row>
    <row r="66" spans="1:6">
      <c r="A66" s="1583"/>
      <c r="B66" s="1668" t="s">
        <v>862</v>
      </c>
      <c r="C66" s="1669"/>
      <c r="D66" s="1471">
        <f t="shared" si="0"/>
        <v>12.25</v>
      </c>
      <c r="E66" s="1472">
        <f t="shared" si="1"/>
        <v>12.25</v>
      </c>
      <c r="F66" s="1417"/>
    </row>
    <row r="67" spans="1:6">
      <c r="A67" s="1583"/>
      <c r="B67" s="1668" t="s">
        <v>863</v>
      </c>
      <c r="C67" s="1669"/>
      <c r="D67" s="1471">
        <f t="shared" si="0"/>
        <v>12.6</v>
      </c>
      <c r="E67" s="1472">
        <f t="shared" si="1"/>
        <v>12.6</v>
      </c>
      <c r="F67" s="1417"/>
    </row>
    <row r="68" spans="1:6">
      <c r="A68" s="1583"/>
      <c r="B68" s="1668" t="s">
        <v>872</v>
      </c>
      <c r="C68" s="1669"/>
      <c r="D68" s="1471">
        <f t="shared" si="0"/>
        <v>12.4</v>
      </c>
      <c r="E68" s="1472">
        <f t="shared" si="1"/>
        <v>12.4</v>
      </c>
      <c r="F68" s="1417"/>
    </row>
    <row r="69" spans="1:6">
      <c r="A69" s="1583"/>
      <c r="B69" s="1668" t="s">
        <v>873</v>
      </c>
      <c r="C69" s="1669"/>
      <c r="D69" s="1471">
        <f t="shared" si="0"/>
        <v>12.8</v>
      </c>
      <c r="E69" s="1472">
        <f t="shared" si="1"/>
        <v>12.8</v>
      </c>
      <c r="F69" s="1417"/>
    </row>
    <row r="70" spans="1:6" ht="6" customHeight="1">
      <c r="A70" s="1583"/>
      <c r="B70" s="1500"/>
      <c r="C70" s="1139"/>
      <c r="D70" s="1139"/>
      <c r="E70" s="1140"/>
      <c r="F70" s="1122"/>
    </row>
    <row r="71" spans="1:6" ht="6" customHeight="1" thickBot="1">
      <c r="A71" s="1612"/>
      <c r="B71" s="1585"/>
      <c r="C71" s="1633"/>
      <c r="D71" s="1633"/>
      <c r="E71" s="1585"/>
      <c r="F71" s="1613"/>
    </row>
    <row r="72" spans="1:6" ht="16.5">
      <c r="B72" s="1684"/>
      <c r="C72" s="1078"/>
      <c r="D72" s="1060"/>
      <c r="E72" s="1061"/>
      <c r="F72" s="1061"/>
    </row>
    <row r="73" spans="1:6" ht="52.5" customHeight="1">
      <c r="B73" s="1730"/>
      <c r="C73" s="1730"/>
      <c r="D73" s="1730"/>
      <c r="E73" s="1730"/>
      <c r="F73" s="1685"/>
    </row>
    <row r="74" spans="1:6" ht="16.5">
      <c r="B74" s="1507"/>
      <c r="C74" s="901"/>
      <c r="D74" s="901"/>
      <c r="E74" s="1507"/>
      <c r="F74" s="1507"/>
    </row>
    <row r="75" spans="1:6" ht="16.5">
      <c r="B75" s="884"/>
      <c r="C75" s="1686"/>
      <c r="D75" s="1686"/>
    </row>
    <row r="76" spans="1:6" ht="16.5">
      <c r="C76" s="901"/>
      <c r="D76" s="901"/>
    </row>
    <row r="78" spans="1:6" ht="58.5" customHeight="1">
      <c r="B78" s="1723"/>
      <c r="C78" s="1723"/>
      <c r="D78" s="1723"/>
      <c r="E78" s="1723"/>
      <c r="F78" s="1687"/>
    </row>
    <row r="79" spans="1:6" ht="68.25" customHeight="1">
      <c r="B79" s="1723"/>
      <c r="C79" s="1723"/>
      <c r="D79" s="1723"/>
      <c r="E79" s="1723"/>
      <c r="F79" s="1687"/>
    </row>
    <row r="80" spans="1:6" ht="59.25" customHeight="1">
      <c r="B80" s="1723"/>
      <c r="C80" s="1723"/>
      <c r="D80" s="1723"/>
      <c r="E80" s="1723"/>
      <c r="F80" s="1687"/>
    </row>
    <row r="85" spans="2:6">
      <c r="B85" s="1500"/>
      <c r="C85" s="1500"/>
      <c r="D85" s="1500"/>
      <c r="E85" s="1500"/>
      <c r="F85" s="1500"/>
    </row>
    <row r="86" spans="2:6" ht="16.5">
      <c r="B86" s="1500"/>
      <c r="C86" s="1531"/>
      <c r="D86" s="1531"/>
      <c r="E86" s="1531"/>
      <c r="F86" s="1531"/>
    </row>
    <row r="87" spans="2:6" ht="16.5">
      <c r="B87" s="1569"/>
      <c r="C87" s="1531"/>
      <c r="D87" s="1531"/>
      <c r="E87" s="1531"/>
      <c r="F87" s="1531"/>
    </row>
    <row r="88" spans="2:6">
      <c r="B88" s="1558"/>
      <c r="C88" s="1500"/>
      <c r="D88" s="1500"/>
      <c r="E88" s="1500"/>
      <c r="F88" s="1500"/>
    </row>
    <row r="89" spans="2:6">
      <c r="B89" s="1558"/>
      <c r="C89" s="908"/>
      <c r="D89" s="908"/>
      <c r="E89" s="1084"/>
      <c r="F89" s="1084"/>
    </row>
    <row r="90" spans="2:6">
      <c r="B90" s="1558"/>
      <c r="C90" s="908"/>
      <c r="D90" s="908"/>
      <c r="E90" s="1084"/>
      <c r="F90" s="1084"/>
    </row>
    <row r="91" spans="2:6">
      <c r="B91" s="1558"/>
      <c r="C91" s="908"/>
      <c r="D91" s="908"/>
      <c r="E91" s="1084"/>
      <c r="F91" s="1084"/>
    </row>
    <row r="92" spans="2:6">
      <c r="B92" s="1558"/>
      <c r="C92" s="908"/>
      <c r="D92" s="908"/>
      <c r="E92" s="1084"/>
      <c r="F92" s="1084"/>
    </row>
    <row r="93" spans="2:6">
      <c r="B93" s="1558"/>
      <c r="C93" s="908"/>
      <c r="D93" s="908"/>
      <c r="E93" s="1084"/>
      <c r="F93" s="1084"/>
    </row>
    <row r="94" spans="2:6">
      <c r="B94" s="1558"/>
      <c r="C94" s="908"/>
      <c r="D94" s="908"/>
      <c r="E94" s="1084"/>
      <c r="F94" s="1084"/>
    </row>
    <row r="95" spans="2:6">
      <c r="B95" s="1558"/>
      <c r="C95" s="908"/>
      <c r="D95" s="908"/>
      <c r="E95" s="1084"/>
      <c r="F95" s="1084"/>
    </row>
    <row r="96" spans="2:6">
      <c r="B96" s="1558"/>
      <c r="C96" s="908"/>
      <c r="D96" s="908"/>
      <c r="E96" s="1085"/>
      <c r="F96" s="1085"/>
    </row>
    <row r="97" spans="2:6">
      <c r="B97" s="1558"/>
      <c r="C97" s="908"/>
      <c r="D97" s="908"/>
      <c r="E97" s="1085"/>
      <c r="F97" s="1085"/>
    </row>
    <row r="98" spans="2:6">
      <c r="B98" s="1558"/>
      <c r="C98" s="908"/>
      <c r="D98" s="908"/>
      <c r="E98" s="1084"/>
      <c r="F98" s="1084"/>
    </row>
    <row r="99" spans="2:6">
      <c r="B99" s="1558"/>
      <c r="C99" s="908"/>
      <c r="D99" s="908"/>
      <c r="E99" s="1084"/>
      <c r="F99" s="1084"/>
    </row>
    <row r="100" spans="2:6">
      <c r="B100" s="1558"/>
      <c r="C100" s="908"/>
      <c r="D100" s="908"/>
      <c r="E100" s="1084"/>
      <c r="F100" s="1084"/>
    </row>
    <row r="101" spans="2:6">
      <c r="B101" s="1558"/>
      <c r="C101" s="908"/>
      <c r="D101" s="908"/>
      <c r="E101" s="1084"/>
      <c r="F101" s="1084"/>
    </row>
    <row r="102" spans="2:6">
      <c r="B102" s="1558"/>
      <c r="C102" s="908"/>
      <c r="D102" s="908"/>
      <c r="E102" s="1084"/>
      <c r="F102" s="1084"/>
    </row>
    <row r="103" spans="2:6">
      <c r="B103" s="1558"/>
      <c r="C103" s="908"/>
      <c r="D103" s="908"/>
      <c r="E103" s="1084"/>
      <c r="F103" s="1084"/>
    </row>
    <row r="104" spans="2:6">
      <c r="B104" s="1558"/>
      <c r="C104" s="908"/>
      <c r="D104" s="908"/>
      <c r="E104" s="1084"/>
      <c r="F104" s="1084"/>
    </row>
    <row r="105" spans="2:6">
      <c r="B105" s="1558"/>
      <c r="C105" s="908"/>
      <c r="D105" s="908"/>
      <c r="E105" s="1084"/>
      <c r="F105" s="1084"/>
    </row>
    <row r="106" spans="2:6">
      <c r="B106" s="1558"/>
      <c r="C106" s="908"/>
      <c r="D106" s="908"/>
      <c r="E106" s="1084"/>
      <c r="F106" s="1084"/>
    </row>
    <row r="107" spans="2:6">
      <c r="B107" s="1558"/>
      <c r="C107" s="908"/>
      <c r="D107" s="908"/>
      <c r="E107" s="1084"/>
      <c r="F107" s="1084"/>
    </row>
    <row r="108" spans="2:6">
      <c r="B108" s="1558"/>
      <c r="C108" s="908"/>
      <c r="D108" s="908"/>
      <c r="E108" s="1084"/>
      <c r="F108" s="1084"/>
    </row>
    <row r="109" spans="2:6">
      <c r="B109" s="1558"/>
      <c r="C109" s="908"/>
      <c r="D109" s="908"/>
      <c r="E109" s="1084"/>
      <c r="F109" s="1084"/>
    </row>
    <row r="110" spans="2:6">
      <c r="B110" s="1558"/>
      <c r="C110" s="908"/>
      <c r="D110" s="908"/>
      <c r="E110" s="1084"/>
      <c r="F110" s="1084"/>
    </row>
    <row r="111" spans="2:6">
      <c r="B111" s="1558"/>
      <c r="C111" s="908"/>
      <c r="D111" s="908"/>
      <c r="E111" s="1084"/>
      <c r="F111" s="1084"/>
    </row>
    <row r="112" spans="2:6">
      <c r="B112" s="1558"/>
      <c r="C112" s="908"/>
      <c r="D112" s="908"/>
      <c r="E112" s="908"/>
      <c r="F112" s="908"/>
    </row>
    <row r="113" spans="2:6" ht="16.5">
      <c r="B113" s="1569"/>
      <c r="C113" s="908"/>
      <c r="D113" s="908"/>
      <c r="E113" s="1084"/>
      <c r="F113" s="1084"/>
    </row>
    <row r="114" spans="2:6">
      <c r="B114" s="1558"/>
      <c r="C114" s="908"/>
      <c r="D114" s="908"/>
      <c r="E114" s="1084"/>
      <c r="F114" s="1084"/>
    </row>
    <row r="115" spans="2:6">
      <c r="B115" s="1558"/>
      <c r="C115" s="908"/>
      <c r="D115" s="908"/>
      <c r="E115" s="1084"/>
      <c r="F115" s="1084"/>
    </row>
    <row r="116" spans="2:6">
      <c r="B116" s="1558"/>
      <c r="C116" s="908"/>
      <c r="D116" s="908"/>
      <c r="E116" s="1084"/>
      <c r="F116" s="1084"/>
    </row>
    <row r="117" spans="2:6">
      <c r="B117" s="1558"/>
      <c r="C117" s="908"/>
      <c r="D117" s="908"/>
      <c r="E117" s="1084"/>
      <c r="F117" s="1084"/>
    </row>
    <row r="118" spans="2:6">
      <c r="B118" s="1558"/>
      <c r="C118" s="908"/>
      <c r="D118" s="908"/>
      <c r="E118" s="1084"/>
      <c r="F118" s="1084"/>
    </row>
    <row r="119" spans="2:6">
      <c r="B119" s="1558"/>
      <c r="C119" s="908"/>
      <c r="D119" s="908"/>
      <c r="E119" s="1084"/>
      <c r="F119" s="1084"/>
    </row>
    <row r="120" spans="2:6">
      <c r="B120" s="1558"/>
      <c r="C120" s="908"/>
      <c r="D120" s="908"/>
      <c r="E120" s="1084"/>
      <c r="F120" s="1084"/>
    </row>
    <row r="121" spans="2:6">
      <c r="B121" s="1570"/>
      <c r="C121" s="908"/>
      <c r="D121" s="908"/>
      <c r="E121" s="1084"/>
      <c r="F121" s="1084"/>
    </row>
    <row r="122" spans="2:6">
      <c r="B122" s="1087"/>
      <c r="C122" s="908"/>
      <c r="D122" s="908"/>
      <c r="E122" s="908"/>
      <c r="F122" s="908"/>
    </row>
    <row r="123" spans="2:6" ht="16.5">
      <c r="B123" s="1569"/>
      <c r="C123" s="908"/>
      <c r="D123" s="908"/>
      <c r="E123" s="1084"/>
      <c r="F123" s="1084"/>
    </row>
    <row r="124" spans="2:6">
      <c r="B124" s="1558"/>
      <c r="C124" s="908"/>
      <c r="D124" s="908"/>
      <c r="E124" s="1084"/>
      <c r="F124" s="1084"/>
    </row>
    <row r="125" spans="2:6">
      <c r="B125" s="1558"/>
      <c r="C125" s="908"/>
      <c r="D125" s="908"/>
      <c r="E125" s="1084"/>
      <c r="F125" s="1084"/>
    </row>
    <row r="126" spans="2:6">
      <c r="B126" s="1558"/>
      <c r="C126" s="908"/>
      <c r="D126" s="908"/>
      <c r="E126" s="1084"/>
      <c r="F126" s="1084"/>
    </row>
    <row r="127" spans="2:6">
      <c r="B127" s="1558"/>
      <c r="C127" s="908"/>
      <c r="D127" s="908"/>
      <c r="E127" s="1084"/>
      <c r="F127" s="1084"/>
    </row>
    <row r="128" spans="2:6">
      <c r="B128" s="1558"/>
      <c r="C128" s="908"/>
      <c r="D128" s="908"/>
      <c r="E128" s="1084"/>
      <c r="F128" s="1084"/>
    </row>
    <row r="129" spans="2:6">
      <c r="B129" s="1558"/>
      <c r="C129" s="908"/>
      <c r="D129" s="908"/>
      <c r="E129" s="1084"/>
      <c r="F129" s="1084"/>
    </row>
    <row r="130" spans="2:6">
      <c r="B130" s="1558"/>
      <c r="C130" s="908"/>
      <c r="D130" s="908"/>
      <c r="E130" s="1084"/>
      <c r="F130" s="1084"/>
    </row>
    <row r="131" spans="2:6">
      <c r="B131" s="1558"/>
      <c r="C131" s="908"/>
      <c r="D131" s="908"/>
      <c r="E131" s="1084"/>
      <c r="F131" s="1084"/>
    </row>
    <row r="132" spans="2:6">
      <c r="B132" s="1558"/>
      <c r="C132" s="908"/>
      <c r="D132" s="908"/>
      <c r="E132" s="1084"/>
      <c r="F132" s="1084"/>
    </row>
    <row r="133" spans="2:6">
      <c r="B133" s="1558"/>
      <c r="C133" s="908"/>
      <c r="D133" s="908"/>
      <c r="E133" s="1084"/>
      <c r="F133" s="1084"/>
    </row>
    <row r="134" spans="2:6">
      <c r="B134" s="1558"/>
      <c r="C134" s="908"/>
      <c r="D134" s="908"/>
      <c r="E134" s="1084"/>
      <c r="F134" s="1084"/>
    </row>
    <row r="135" spans="2:6">
      <c r="B135" s="1570"/>
      <c r="C135" s="908"/>
      <c r="D135" s="908"/>
      <c r="E135" s="908"/>
      <c r="F135" s="908"/>
    </row>
    <row r="136" spans="2:6">
      <c r="B136" s="1558"/>
      <c r="C136" s="908"/>
      <c r="D136" s="908"/>
      <c r="E136" s="1084"/>
      <c r="F136" s="1084"/>
    </row>
    <row r="137" spans="2:6">
      <c r="B137" s="1558"/>
      <c r="C137" s="908"/>
      <c r="D137" s="908"/>
      <c r="E137" s="1084"/>
      <c r="F137" s="1084"/>
    </row>
    <row r="138" spans="2:6" ht="16.5">
      <c r="B138" s="1569"/>
      <c r="C138" s="908"/>
      <c r="D138" s="908"/>
      <c r="E138" s="1084"/>
      <c r="F138" s="1084"/>
    </row>
    <row r="139" spans="2:6" ht="16.5">
      <c r="B139" s="1569"/>
      <c r="C139" s="908"/>
      <c r="D139" s="908"/>
      <c r="E139" s="1084"/>
      <c r="F139" s="1084"/>
    </row>
    <row r="140" spans="2:6">
      <c r="B140" s="1558"/>
      <c r="C140" s="908"/>
      <c r="D140" s="908"/>
      <c r="E140" s="1084"/>
      <c r="F140" s="1084"/>
    </row>
    <row r="141" spans="2:6">
      <c r="B141" s="1558"/>
      <c r="C141" s="908"/>
      <c r="D141" s="908"/>
      <c r="E141" s="1084"/>
      <c r="F141" s="1084"/>
    </row>
    <row r="142" spans="2:6">
      <c r="B142" s="1558"/>
      <c r="C142" s="908"/>
      <c r="D142" s="908"/>
      <c r="E142" s="1084"/>
      <c r="F142" s="1084"/>
    </row>
    <row r="143" spans="2:6">
      <c r="B143" s="1558"/>
      <c r="C143" s="908"/>
      <c r="D143" s="908"/>
      <c r="E143" s="1084"/>
      <c r="F143" s="1084"/>
    </row>
    <row r="144" spans="2:6">
      <c r="B144" s="1558"/>
      <c r="C144" s="908"/>
      <c r="D144" s="908"/>
      <c r="E144" s="1084"/>
      <c r="F144" s="1084"/>
    </row>
    <row r="145" spans="2:6">
      <c r="B145" s="1558"/>
      <c r="C145" s="908"/>
      <c r="D145" s="908"/>
      <c r="E145" s="1084"/>
      <c r="F145" s="1084"/>
    </row>
    <row r="146" spans="2:6">
      <c r="B146" s="1558"/>
      <c r="C146" s="908"/>
      <c r="D146" s="908"/>
      <c r="E146" s="1084"/>
      <c r="F146" s="1084"/>
    </row>
    <row r="147" spans="2:6">
      <c r="B147" s="1558"/>
      <c r="C147" s="908"/>
      <c r="D147" s="908"/>
      <c r="E147" s="1084"/>
      <c r="F147" s="1084"/>
    </row>
    <row r="148" spans="2:6">
      <c r="B148" s="1558"/>
      <c r="C148" s="908"/>
      <c r="D148" s="908"/>
      <c r="E148" s="1084"/>
      <c r="F148" s="1084"/>
    </row>
    <row r="149" spans="2:6">
      <c r="B149" s="1558"/>
      <c r="C149" s="908"/>
      <c r="D149" s="908"/>
      <c r="E149" s="1084"/>
      <c r="F149" s="1084"/>
    </row>
    <row r="150" spans="2:6">
      <c r="B150" s="1558"/>
      <c r="C150" s="908"/>
      <c r="D150" s="908"/>
      <c r="E150" s="1084"/>
      <c r="F150" s="1084"/>
    </row>
    <row r="151" spans="2:6">
      <c r="B151" s="1558"/>
      <c r="C151" s="908"/>
      <c r="D151" s="908"/>
      <c r="E151" s="1084"/>
      <c r="F151" s="1084"/>
    </row>
    <row r="152" spans="2:6">
      <c r="B152" s="1558"/>
      <c r="C152" s="908"/>
      <c r="D152" s="908"/>
      <c r="E152" s="1084"/>
      <c r="F152" s="1084"/>
    </row>
    <row r="153" spans="2:6">
      <c r="B153" s="1558"/>
      <c r="C153" s="908"/>
      <c r="D153" s="908"/>
      <c r="E153" s="1084"/>
      <c r="F153" s="1084"/>
    </row>
    <row r="154" spans="2:6">
      <c r="B154" s="1558"/>
      <c r="C154" s="908"/>
      <c r="D154" s="908"/>
      <c r="E154" s="1084"/>
      <c r="F154" s="1084"/>
    </row>
    <row r="155" spans="2:6">
      <c r="B155" s="1558"/>
      <c r="C155" s="908"/>
      <c r="D155" s="908"/>
      <c r="E155" s="1084"/>
      <c r="F155" s="1084"/>
    </row>
    <row r="156" spans="2:6">
      <c r="B156" s="1558"/>
      <c r="C156" s="908"/>
      <c r="D156" s="908"/>
      <c r="E156" s="1084"/>
      <c r="F156" s="1084"/>
    </row>
    <row r="157" spans="2:6">
      <c r="B157" s="1558"/>
      <c r="C157" s="908"/>
      <c r="D157" s="908"/>
      <c r="E157" s="1084"/>
      <c r="F157" s="1084"/>
    </row>
    <row r="158" spans="2:6">
      <c r="B158" s="1558"/>
      <c r="C158" s="908"/>
      <c r="D158" s="908"/>
      <c r="E158" s="1084"/>
      <c r="F158" s="1084"/>
    </row>
    <row r="159" spans="2:6">
      <c r="B159" s="1558"/>
      <c r="C159" s="908"/>
      <c r="D159" s="908"/>
      <c r="E159" s="908"/>
      <c r="F159" s="908"/>
    </row>
    <row r="160" spans="2:6">
      <c r="B160" s="1558"/>
      <c r="C160" s="908"/>
      <c r="D160" s="908"/>
      <c r="E160" s="908"/>
      <c r="F160" s="908"/>
    </row>
    <row r="161" spans="2:6" ht="16.5">
      <c r="B161" s="1569"/>
      <c r="C161" s="908"/>
      <c r="D161" s="908"/>
      <c r="E161" s="1084"/>
      <c r="F161" s="1084"/>
    </row>
    <row r="162" spans="2:6" ht="16.5">
      <c r="B162" s="1569"/>
      <c r="C162" s="908"/>
      <c r="D162" s="908"/>
      <c r="E162" s="1084"/>
      <c r="F162" s="1084"/>
    </row>
    <row r="163" spans="2:6" ht="16.5">
      <c r="B163" s="1569"/>
      <c r="C163" s="908"/>
      <c r="D163" s="908"/>
      <c r="E163" s="1084"/>
      <c r="F163" s="1084"/>
    </row>
    <row r="164" spans="2:6">
      <c r="B164" s="1558"/>
      <c r="C164" s="908"/>
      <c r="D164" s="908"/>
      <c r="E164" s="1084"/>
      <c r="F164" s="1084"/>
    </row>
    <row r="165" spans="2:6">
      <c r="B165" s="1558"/>
      <c r="C165" s="908"/>
      <c r="D165" s="908"/>
      <c r="E165" s="1084"/>
      <c r="F165" s="1084"/>
    </row>
    <row r="166" spans="2:6">
      <c r="B166" s="1558"/>
      <c r="C166" s="908"/>
      <c r="D166" s="908"/>
      <c r="E166" s="1084"/>
      <c r="F166" s="1084"/>
    </row>
    <row r="167" spans="2:6">
      <c r="B167" s="1558"/>
      <c r="C167" s="908"/>
      <c r="D167" s="908"/>
      <c r="E167" s="1084"/>
      <c r="F167" s="1084"/>
    </row>
    <row r="168" spans="2:6">
      <c r="B168" s="1558"/>
      <c r="C168" s="908"/>
      <c r="D168" s="908"/>
      <c r="E168" s="1084"/>
      <c r="F168" s="1084"/>
    </row>
    <row r="169" spans="2:6">
      <c r="B169" s="1558"/>
      <c r="C169" s="908"/>
      <c r="D169" s="908"/>
      <c r="E169" s="1084"/>
      <c r="F169" s="1084"/>
    </row>
    <row r="170" spans="2:6">
      <c r="B170" s="1558"/>
      <c r="C170" s="908"/>
      <c r="D170" s="908"/>
      <c r="E170" s="1084"/>
      <c r="F170" s="1084"/>
    </row>
    <row r="171" spans="2:6">
      <c r="B171" s="1558"/>
      <c r="C171" s="908"/>
      <c r="D171" s="908"/>
      <c r="E171" s="1084"/>
      <c r="F171" s="1084"/>
    </row>
    <row r="172" spans="2:6">
      <c r="B172" s="1558"/>
      <c r="C172" s="908"/>
      <c r="D172" s="908"/>
      <c r="E172" s="1084"/>
      <c r="F172" s="1084"/>
    </row>
    <row r="173" spans="2:6">
      <c r="B173" s="1558"/>
      <c r="C173" s="908"/>
      <c r="D173" s="908"/>
      <c r="E173" s="1084"/>
      <c r="F173" s="1084"/>
    </row>
    <row r="174" spans="2:6">
      <c r="B174" s="1558"/>
      <c r="C174" s="908"/>
      <c r="D174" s="908"/>
      <c r="E174" s="1084"/>
      <c r="F174" s="1084"/>
    </row>
    <row r="175" spans="2:6">
      <c r="B175" s="1558"/>
      <c r="C175" s="908"/>
      <c r="D175" s="908"/>
      <c r="E175" s="1084"/>
      <c r="F175" s="1084"/>
    </row>
    <row r="176" spans="2:6">
      <c r="B176" s="1558"/>
      <c r="C176" s="908"/>
      <c r="D176" s="908"/>
      <c r="E176" s="1084"/>
      <c r="F176" s="1084"/>
    </row>
    <row r="177" spans="2:6">
      <c r="B177" s="1558"/>
      <c r="C177" s="908"/>
      <c r="D177" s="908"/>
      <c r="E177" s="1084"/>
      <c r="F177" s="1084"/>
    </row>
    <row r="178" spans="2:6">
      <c r="B178" s="1558"/>
      <c r="C178" s="908"/>
      <c r="D178" s="908"/>
      <c r="E178" s="1084"/>
      <c r="F178" s="1084"/>
    </row>
    <row r="179" spans="2:6">
      <c r="B179" s="1558"/>
      <c r="C179" s="908"/>
      <c r="D179" s="908"/>
      <c r="E179" s="1084"/>
      <c r="F179" s="1084"/>
    </row>
    <row r="180" spans="2:6">
      <c r="B180" s="1558"/>
      <c r="C180" s="908"/>
      <c r="D180" s="908"/>
      <c r="E180" s="1084"/>
      <c r="F180" s="1084"/>
    </row>
    <row r="181" spans="2:6">
      <c r="B181" s="1558"/>
      <c r="C181" s="908"/>
      <c r="D181" s="908"/>
      <c r="E181" s="1084"/>
      <c r="F181" s="1084"/>
    </row>
    <row r="182" spans="2:6">
      <c r="B182" s="1558"/>
      <c r="C182" s="908"/>
      <c r="D182" s="908"/>
      <c r="E182" s="1084"/>
      <c r="F182" s="1084"/>
    </row>
    <row r="183" spans="2:6">
      <c r="B183" s="1558"/>
      <c r="C183" s="908"/>
      <c r="D183" s="908"/>
      <c r="E183" s="908"/>
      <c r="F183" s="908"/>
    </row>
    <row r="184" spans="2:6">
      <c r="B184" s="1558"/>
      <c r="C184" s="908"/>
      <c r="D184" s="908"/>
      <c r="E184" s="908"/>
      <c r="F184" s="908"/>
    </row>
    <row r="185" spans="2:6">
      <c r="B185" s="1558"/>
      <c r="C185" s="908"/>
      <c r="D185" s="908"/>
      <c r="E185" s="1084"/>
      <c r="F185" s="1084"/>
    </row>
    <row r="186" spans="2:6" ht="16.5">
      <c r="B186" s="1569"/>
      <c r="C186" s="908"/>
      <c r="D186" s="908"/>
      <c r="E186" s="1084"/>
      <c r="F186" s="1084"/>
    </row>
    <row r="187" spans="2:6" ht="16.5">
      <c r="B187" s="1569"/>
      <c r="C187" s="908"/>
      <c r="D187" s="908"/>
      <c r="E187" s="1084"/>
      <c r="F187" s="1084"/>
    </row>
    <row r="188" spans="2:6">
      <c r="B188" s="1558"/>
      <c r="C188" s="908"/>
      <c r="D188" s="908"/>
      <c r="E188" s="1084"/>
      <c r="F188" s="1084"/>
    </row>
    <row r="189" spans="2:6">
      <c r="B189" s="1558"/>
      <c r="C189" s="908"/>
      <c r="D189" s="908"/>
      <c r="E189" s="1084"/>
      <c r="F189" s="1084"/>
    </row>
    <row r="190" spans="2:6">
      <c r="B190" s="1558"/>
      <c r="C190" s="908"/>
      <c r="D190" s="908"/>
      <c r="E190" s="1084"/>
      <c r="F190" s="1084"/>
    </row>
    <row r="191" spans="2:6">
      <c r="B191" s="1558"/>
      <c r="C191" s="908"/>
      <c r="D191" s="908"/>
      <c r="E191" s="1084"/>
      <c r="F191" s="1084"/>
    </row>
    <row r="192" spans="2:6">
      <c r="B192" s="1558"/>
      <c r="C192" s="908"/>
      <c r="D192" s="908"/>
      <c r="E192" s="1084"/>
      <c r="F192" s="1084"/>
    </row>
    <row r="193" spans="2:6" ht="16.5">
      <c r="B193" s="1571"/>
      <c r="C193" s="908"/>
      <c r="D193" s="908"/>
      <c r="E193" s="1084"/>
      <c r="F193" s="1084"/>
    </row>
    <row r="194" spans="2:6">
      <c r="B194" s="1558"/>
      <c r="C194" s="908"/>
      <c r="D194" s="908"/>
      <c r="E194" s="908"/>
      <c r="F194" s="908"/>
    </row>
    <row r="195" spans="2:6" ht="16.5">
      <c r="B195" s="1558"/>
      <c r="C195" s="908"/>
      <c r="D195" s="908"/>
      <c r="E195" s="1060"/>
      <c r="F195" s="1060"/>
    </row>
    <row r="196" spans="2:6" ht="16.5">
      <c r="B196" s="1569"/>
      <c r="C196" s="908"/>
      <c r="D196" s="908"/>
      <c r="E196" s="1060"/>
      <c r="F196" s="1060"/>
    </row>
    <row r="197" spans="2:6" ht="16.5">
      <c r="B197" s="1569"/>
      <c r="C197" s="908"/>
      <c r="D197" s="908"/>
      <c r="E197" s="1060"/>
      <c r="F197" s="1060"/>
    </row>
    <row r="198" spans="2:6">
      <c r="B198" s="1558"/>
      <c r="C198" s="908"/>
      <c r="D198" s="908"/>
      <c r="E198" s="1084"/>
      <c r="F198" s="1084"/>
    </row>
    <row r="199" spans="2:6">
      <c r="B199" s="1558"/>
      <c r="C199" s="908"/>
      <c r="D199" s="908"/>
      <c r="E199" s="1084"/>
      <c r="F199" s="1084"/>
    </row>
    <row r="200" spans="2:6">
      <c r="B200" s="1558"/>
      <c r="C200" s="908"/>
      <c r="D200" s="908"/>
      <c r="E200" s="1084"/>
      <c r="F200" s="1084"/>
    </row>
    <row r="201" spans="2:6" ht="16.5">
      <c r="B201" s="1558"/>
      <c r="C201" s="908"/>
      <c r="D201" s="908"/>
      <c r="E201" s="1060"/>
      <c r="F201" s="1060"/>
    </row>
    <row r="202" spans="2:6">
      <c r="B202" s="1558"/>
      <c r="C202" s="908"/>
      <c r="D202" s="908"/>
      <c r="E202" s="1084"/>
      <c r="F202" s="1084"/>
    </row>
    <row r="203" spans="2:6">
      <c r="B203" s="1558"/>
      <c r="C203" s="908"/>
      <c r="D203" s="908"/>
      <c r="E203" s="1084"/>
      <c r="F203" s="1084"/>
    </row>
    <row r="204" spans="2:6">
      <c r="B204" s="1558"/>
      <c r="C204" s="908"/>
      <c r="D204" s="908"/>
      <c r="E204" s="1084"/>
      <c r="F204" s="1084"/>
    </row>
    <row r="205" spans="2:6">
      <c r="B205" s="1558"/>
      <c r="C205" s="908"/>
      <c r="D205" s="908"/>
      <c r="E205" s="1084"/>
      <c r="F205" s="1084"/>
    </row>
    <row r="206" spans="2:6">
      <c r="B206" s="1558"/>
      <c r="C206" s="908"/>
      <c r="D206" s="908"/>
      <c r="E206" s="1084"/>
      <c r="F206" s="1084"/>
    </row>
    <row r="207" spans="2:6">
      <c r="B207" s="1558"/>
      <c r="C207" s="908"/>
      <c r="D207" s="908"/>
      <c r="E207" s="1084"/>
      <c r="F207" s="1084"/>
    </row>
    <row r="208" spans="2:6">
      <c r="B208" s="1558"/>
      <c r="C208" s="908"/>
      <c r="D208" s="908"/>
      <c r="E208" s="1084"/>
      <c r="F208" s="1084"/>
    </row>
    <row r="209" spans="2:6">
      <c r="B209" s="1558"/>
      <c r="C209" s="908"/>
      <c r="D209" s="908"/>
      <c r="E209" s="1084"/>
      <c r="F209" s="1084"/>
    </row>
    <row r="210" spans="2:6">
      <c r="B210" s="1558"/>
      <c r="C210" s="908"/>
      <c r="D210" s="908"/>
      <c r="E210" s="1084"/>
      <c r="F210" s="1084"/>
    </row>
    <row r="211" spans="2:6">
      <c r="B211" s="929"/>
      <c r="C211" s="908"/>
      <c r="D211" s="908"/>
      <c r="E211" s="888"/>
      <c r="F211" s="888"/>
    </row>
    <row r="212" spans="2:6">
      <c r="B212" s="1558"/>
      <c r="C212" s="908"/>
      <c r="D212" s="908"/>
      <c r="E212" s="908"/>
      <c r="F212" s="908"/>
    </row>
    <row r="213" spans="2:6">
      <c r="B213" s="1558"/>
      <c r="C213" s="908"/>
      <c r="D213" s="908"/>
      <c r="E213" s="1084"/>
      <c r="F213" s="1084"/>
    </row>
    <row r="214" spans="2:6">
      <c r="B214" s="1558"/>
      <c r="C214" s="908"/>
      <c r="D214" s="908"/>
      <c r="E214" s="1084"/>
      <c r="F214" s="1084"/>
    </row>
    <row r="215" spans="2:6">
      <c r="B215" s="1558"/>
      <c r="C215" s="908"/>
      <c r="D215" s="908"/>
      <c r="E215" s="908"/>
      <c r="F215" s="908"/>
    </row>
    <row r="216" spans="2:6" ht="16.5">
      <c r="B216" s="1569"/>
      <c r="C216" s="908"/>
      <c r="D216" s="908"/>
      <c r="E216" s="1084"/>
      <c r="F216" s="1084"/>
    </row>
    <row r="217" spans="2:6" ht="16.5">
      <c r="B217" s="1569"/>
      <c r="C217" s="908"/>
      <c r="D217" s="908"/>
      <c r="E217" s="1084"/>
      <c r="F217" s="1084"/>
    </row>
    <row r="218" spans="2:6">
      <c r="B218" s="1558"/>
      <c r="C218" s="908"/>
      <c r="D218" s="908"/>
      <c r="E218" s="1084"/>
      <c r="F218" s="1084"/>
    </row>
    <row r="219" spans="2:6">
      <c r="B219" s="1558"/>
      <c r="C219" s="908"/>
      <c r="D219" s="908"/>
      <c r="E219" s="1084"/>
      <c r="F219" s="1084"/>
    </row>
    <row r="220" spans="2:6">
      <c r="B220" s="1558"/>
      <c r="C220" s="908"/>
      <c r="D220" s="908"/>
      <c r="E220" s="908"/>
      <c r="F220" s="908"/>
    </row>
    <row r="221" spans="2:6">
      <c r="B221" s="1558"/>
      <c r="C221" s="908"/>
      <c r="D221" s="908"/>
      <c r="E221" s="1084"/>
      <c r="F221" s="1084"/>
    </row>
    <row r="222" spans="2:6">
      <c r="B222" s="1558"/>
      <c r="C222" s="908"/>
      <c r="D222" s="908"/>
      <c r="E222" s="1084"/>
      <c r="F222" s="1084"/>
    </row>
    <row r="223" spans="2:6">
      <c r="B223" s="1558"/>
      <c r="C223" s="908"/>
      <c r="D223" s="908"/>
      <c r="E223" s="1084"/>
      <c r="F223" s="1084"/>
    </row>
    <row r="224" spans="2:6">
      <c r="B224" s="1558"/>
      <c r="C224" s="908"/>
      <c r="D224" s="908"/>
      <c r="E224" s="1084"/>
      <c r="F224" s="1084"/>
    </row>
    <row r="225" spans="2:6">
      <c r="B225" s="1558"/>
      <c r="C225" s="908"/>
      <c r="D225" s="908"/>
      <c r="E225" s="1084"/>
      <c r="F225" s="1084"/>
    </row>
    <row r="226" spans="2:6">
      <c r="B226" s="1558"/>
      <c r="C226" s="908"/>
      <c r="D226" s="908"/>
      <c r="E226" s="1084"/>
      <c r="F226" s="1084"/>
    </row>
    <row r="227" spans="2:6">
      <c r="B227" s="1558"/>
      <c r="C227" s="908"/>
      <c r="D227" s="908"/>
      <c r="E227" s="1084"/>
      <c r="F227" s="1084"/>
    </row>
    <row r="228" spans="2:6">
      <c r="B228" s="1558"/>
      <c r="C228" s="908"/>
      <c r="D228" s="908"/>
      <c r="E228" s="1084"/>
      <c r="F228" s="1084"/>
    </row>
    <row r="229" spans="2:6">
      <c r="B229" s="1558"/>
      <c r="C229" s="908"/>
      <c r="D229" s="908"/>
      <c r="E229" s="1084"/>
      <c r="F229" s="1084"/>
    </row>
    <row r="230" spans="2:6">
      <c r="B230" s="1558"/>
      <c r="C230" s="1084"/>
      <c r="D230" s="1084"/>
      <c r="E230" s="1084"/>
      <c r="F230" s="1084"/>
    </row>
    <row r="231" spans="2:6">
      <c r="B231" s="1558"/>
      <c r="C231" s="1084"/>
      <c r="D231" s="1084"/>
      <c r="E231" s="1084"/>
      <c r="F231" s="1084"/>
    </row>
    <row r="232" spans="2:6">
      <c r="B232" s="1558"/>
      <c r="C232" s="908"/>
      <c r="D232" s="908"/>
      <c r="E232" s="1084"/>
      <c r="F232" s="1084"/>
    </row>
    <row r="233" spans="2:6" ht="16.5">
      <c r="B233" s="1569"/>
      <c r="C233" s="908"/>
      <c r="D233" s="908"/>
      <c r="E233" s="1060"/>
      <c r="F233" s="1060"/>
    </row>
    <row r="234" spans="2:6" ht="16.5">
      <c r="B234" s="1569"/>
      <c r="C234" s="908"/>
      <c r="D234" s="908"/>
      <c r="E234" s="1060"/>
      <c r="F234" s="1060"/>
    </row>
    <row r="235" spans="2:6">
      <c r="B235" s="1558"/>
      <c r="C235" s="908"/>
      <c r="D235" s="908"/>
      <c r="E235" s="1084"/>
      <c r="F235" s="1084"/>
    </row>
    <row r="236" spans="2:6" ht="16.5">
      <c r="B236" s="1558"/>
      <c r="C236" s="908"/>
      <c r="D236" s="908"/>
      <c r="E236" s="1060"/>
      <c r="F236" s="1060"/>
    </row>
    <row r="237" spans="2:6">
      <c r="B237" s="1558"/>
      <c r="C237" s="908"/>
      <c r="D237" s="908"/>
      <c r="E237" s="1084"/>
      <c r="F237" s="1084"/>
    </row>
    <row r="238" spans="2:6">
      <c r="B238" s="1558"/>
      <c r="C238" s="908"/>
      <c r="D238" s="908"/>
      <c r="E238" s="1084"/>
      <c r="F238" s="1084"/>
    </row>
    <row r="239" spans="2:6">
      <c r="B239" s="1558"/>
      <c r="C239" s="908"/>
      <c r="D239" s="908"/>
      <c r="E239" s="1084"/>
      <c r="F239" s="1084"/>
    </row>
    <row r="240" spans="2:6">
      <c r="B240" s="1558"/>
      <c r="C240" s="908"/>
      <c r="D240" s="908"/>
      <c r="E240" s="1084"/>
      <c r="F240" s="1084"/>
    </row>
    <row r="241" spans="2:6">
      <c r="B241" s="1558"/>
      <c r="C241" s="908"/>
      <c r="D241" s="908"/>
      <c r="E241" s="1084"/>
      <c r="F241" s="1084"/>
    </row>
    <row r="242" spans="2:6">
      <c r="B242" s="1558"/>
      <c r="C242" s="908"/>
      <c r="D242" s="908"/>
      <c r="E242" s="1084"/>
      <c r="F242" s="1084"/>
    </row>
    <row r="243" spans="2:6">
      <c r="B243" s="1500"/>
      <c r="C243" s="908"/>
      <c r="D243" s="908"/>
      <c r="E243" s="1084"/>
      <c r="F243" s="1084"/>
    </row>
    <row r="244" spans="2:6">
      <c r="B244" s="1500"/>
      <c r="C244" s="908"/>
      <c r="D244" s="908"/>
      <c r="E244" s="908"/>
      <c r="F244" s="908"/>
    </row>
    <row r="245" spans="2:6">
      <c r="B245" s="1500"/>
      <c r="C245" s="1500"/>
      <c r="D245" s="1500"/>
      <c r="E245" s="1500"/>
      <c r="F245" s="1500"/>
    </row>
    <row r="246" spans="2:6" ht="16.5">
      <c r="B246" s="1524"/>
      <c r="C246" s="1500"/>
      <c r="D246" s="1500"/>
      <c r="E246" s="1500"/>
      <c r="F246" s="1500"/>
    </row>
    <row r="247" spans="2:6" ht="16.5">
      <c r="B247" s="1524"/>
      <c r="C247" s="1500"/>
      <c r="D247" s="1500"/>
      <c r="E247" s="1500"/>
      <c r="F247" s="1500"/>
    </row>
    <row r="248" spans="2:6">
      <c r="B248" s="1500"/>
      <c r="C248" s="1089"/>
      <c r="D248" s="1089"/>
      <c r="E248" s="1500"/>
      <c r="F248" s="1500"/>
    </row>
    <row r="249" spans="2:6">
      <c r="B249" s="1500"/>
      <c r="C249" s="1089"/>
      <c r="D249" s="1089"/>
      <c r="E249" s="1500"/>
      <c r="F249" s="1500"/>
    </row>
    <row r="250" spans="2:6">
      <c r="B250" s="1500"/>
      <c r="C250" s="1089"/>
      <c r="D250" s="1089"/>
      <c r="E250" s="1500"/>
      <c r="F250" s="1500"/>
    </row>
    <row r="251" spans="2:6">
      <c r="B251" s="1500"/>
      <c r="C251" s="1089"/>
      <c r="D251" s="1089"/>
      <c r="E251" s="1500"/>
      <c r="F251" s="1500"/>
    </row>
    <row r="252" spans="2:6">
      <c r="B252" s="1500"/>
      <c r="C252" s="1572"/>
      <c r="D252" s="1572"/>
      <c r="E252" s="1500"/>
      <c r="F252" s="1500"/>
    </row>
    <row r="253" spans="2:6">
      <c r="B253" s="1500"/>
      <c r="C253" s="1500"/>
      <c r="D253" s="1500"/>
      <c r="E253" s="1500"/>
      <c r="F253" s="1500"/>
    </row>
    <row r="254" spans="2:6" ht="16.5">
      <c r="B254" s="1524"/>
      <c r="C254" s="1500"/>
      <c r="D254" s="1500"/>
      <c r="E254" s="1500"/>
      <c r="F254" s="1500"/>
    </row>
    <row r="255" spans="2:6">
      <c r="B255" s="1558"/>
      <c r="C255" s="1091"/>
      <c r="D255" s="1091"/>
      <c r="E255" s="1500"/>
      <c r="F255" s="1500"/>
    </row>
    <row r="256" spans="2:6">
      <c r="B256" s="1558"/>
      <c r="C256" s="1091"/>
      <c r="D256" s="1091"/>
      <c r="E256" s="1500"/>
      <c r="F256" s="1500"/>
    </row>
    <row r="257" spans="2:6">
      <c r="B257" s="1558"/>
      <c r="C257" s="1091"/>
      <c r="D257" s="1091"/>
      <c r="E257" s="1500"/>
      <c r="F257" s="1500"/>
    </row>
    <row r="258" spans="2:6">
      <c r="B258" s="1500"/>
      <c r="C258" s="1573"/>
      <c r="D258" s="1573"/>
      <c r="E258" s="1500"/>
      <c r="F258" s="1500"/>
    </row>
    <row r="259" spans="2:6">
      <c r="B259" s="1500"/>
      <c r="C259" s="1500"/>
      <c r="D259" s="1500"/>
      <c r="E259" s="1500"/>
      <c r="F259" s="1500"/>
    </row>
    <row r="260" spans="2:6" ht="16.5">
      <c r="B260" s="1569"/>
      <c r="C260" s="1500"/>
      <c r="D260" s="1500"/>
      <c r="E260" s="1500"/>
      <c r="F260" s="1500"/>
    </row>
    <row r="261" spans="2:6">
      <c r="B261" s="1558"/>
      <c r="C261" s="1093"/>
      <c r="D261" s="1093"/>
      <c r="E261" s="1500"/>
      <c r="F261" s="1500"/>
    </row>
    <row r="262" spans="2:6">
      <c r="B262" s="1558"/>
      <c r="C262" s="1093"/>
      <c r="D262" s="1093"/>
      <c r="E262" s="1500"/>
      <c r="F262" s="1500"/>
    </row>
    <row r="263" spans="2:6">
      <c r="B263" s="1558"/>
      <c r="C263" s="1093"/>
      <c r="D263" s="1093"/>
      <c r="E263" s="1500"/>
      <c r="F263" s="1500"/>
    </row>
    <row r="264" spans="2:6">
      <c r="B264" s="1500"/>
      <c r="C264" s="1573"/>
      <c r="D264" s="1573"/>
      <c r="E264" s="1500"/>
      <c r="F264" s="1500"/>
    </row>
    <row r="265" spans="2:6">
      <c r="B265" s="1500"/>
      <c r="C265" s="1500"/>
      <c r="D265" s="1500"/>
      <c r="E265" s="1500"/>
      <c r="F265" s="1500"/>
    </row>
    <row r="266" spans="2:6" ht="16.5">
      <c r="B266" s="1569"/>
      <c r="C266" s="1500"/>
      <c r="D266" s="1500"/>
      <c r="E266" s="1500"/>
      <c r="F266" s="1500"/>
    </row>
    <row r="267" spans="2:6">
      <c r="B267" s="1558"/>
      <c r="C267" s="1572"/>
      <c r="D267" s="1572"/>
      <c r="E267" s="1500"/>
      <c r="F267" s="1500"/>
    </row>
    <row r="268" spans="2:6">
      <c r="B268" s="1558"/>
      <c r="C268" s="1572"/>
      <c r="D268" s="1572"/>
      <c r="E268" s="1500"/>
      <c r="F268" s="1500"/>
    </row>
    <row r="269" spans="2:6">
      <c r="B269" s="1558"/>
      <c r="C269" s="1572"/>
      <c r="D269" s="1572"/>
      <c r="E269" s="1500"/>
      <c r="F269" s="1500"/>
    </row>
    <row r="270" spans="2:6">
      <c r="B270" s="1500"/>
      <c r="C270" s="1573"/>
      <c r="D270" s="1573"/>
      <c r="E270" s="1089"/>
      <c r="F270" s="1089"/>
    </row>
    <row r="271" spans="2:6">
      <c r="B271" s="1500"/>
      <c r="C271" s="1573"/>
      <c r="D271" s="1573"/>
      <c r="E271" s="1089"/>
      <c r="F271" s="1089"/>
    </row>
    <row r="272" spans="2:6" ht="16.5">
      <c r="B272" s="1569"/>
      <c r="C272" s="1573"/>
      <c r="D272" s="1573"/>
      <c r="E272" s="1089"/>
      <c r="F272" s="1089"/>
    </row>
    <row r="273" spans="2:6">
      <c r="B273" s="1500"/>
      <c r="C273" s="1572"/>
      <c r="D273" s="1572"/>
      <c r="E273" s="1089"/>
      <c r="F273" s="1089"/>
    </row>
    <row r="274" spans="2:6">
      <c r="B274" s="1558"/>
      <c r="C274" s="1572"/>
      <c r="D274" s="1572"/>
      <c r="E274" s="1089"/>
      <c r="F274" s="1089"/>
    </row>
    <row r="275" spans="2:6">
      <c r="B275" s="1500"/>
      <c r="C275" s="1572"/>
      <c r="D275" s="1572"/>
      <c r="E275" s="1500"/>
      <c r="F275" s="1500"/>
    </row>
    <row r="276" spans="2:6" ht="16.5">
      <c r="B276" s="1524"/>
      <c r="C276" s="1572"/>
      <c r="D276" s="1572"/>
      <c r="E276" s="1500"/>
      <c r="F276" s="1500"/>
    </row>
    <row r="277" spans="2:6">
      <c r="B277" s="1500"/>
      <c r="C277" s="1572"/>
      <c r="D277" s="1572"/>
      <c r="E277" s="1500"/>
      <c r="F277" s="1500"/>
    </row>
    <row r="278" spans="2:6">
      <c r="B278" s="1500"/>
      <c r="C278" s="1572"/>
      <c r="D278" s="1572"/>
      <c r="E278" s="1500"/>
      <c r="F278" s="1500"/>
    </row>
    <row r="279" spans="2:6">
      <c r="B279" s="1500"/>
      <c r="C279" s="1572"/>
      <c r="D279" s="1572"/>
      <c r="E279" s="1573"/>
      <c r="F279" s="1573"/>
    </row>
    <row r="280" spans="2:6">
      <c r="B280" s="1500"/>
      <c r="C280" s="1572"/>
      <c r="D280" s="1572"/>
      <c r="E280" s="1500"/>
      <c r="F280" s="1500"/>
    </row>
    <row r="281" spans="2:6" ht="16.5">
      <c r="B281" s="1569"/>
      <c r="C281" s="1500"/>
      <c r="D281" s="1500"/>
      <c r="E281" s="1500"/>
      <c r="F281" s="1500"/>
    </row>
    <row r="282" spans="2:6">
      <c r="B282" s="1500"/>
      <c r="C282" s="1572"/>
      <c r="D282" s="1572"/>
      <c r="E282" s="1500"/>
      <c r="F282" s="1500"/>
    </row>
    <row r="283" spans="2:6">
      <c r="B283" s="1500"/>
      <c r="C283" s="1500"/>
      <c r="D283" s="1500"/>
      <c r="E283" s="1500"/>
      <c r="F283" s="1500"/>
    </row>
    <row r="284" spans="2:6">
      <c r="B284" s="1500"/>
      <c r="C284" s="1572"/>
      <c r="D284" s="1572"/>
      <c r="E284" s="1500"/>
      <c r="F284" s="1500"/>
    </row>
    <row r="285" spans="2:6">
      <c r="B285" s="1500"/>
      <c r="C285" s="1500"/>
      <c r="D285" s="1500"/>
      <c r="E285" s="1500"/>
      <c r="F285" s="1500"/>
    </row>
    <row r="286" spans="2:6">
      <c r="B286" s="1500"/>
      <c r="C286" s="1572"/>
      <c r="D286" s="1572"/>
      <c r="E286" s="1500"/>
      <c r="F286" s="1500"/>
    </row>
    <row r="287" spans="2:6">
      <c r="B287" s="1500"/>
      <c r="C287" s="1500"/>
      <c r="D287" s="1500"/>
      <c r="E287" s="1500"/>
      <c r="F287" s="1500"/>
    </row>
    <row r="288" spans="2:6">
      <c r="B288" s="1500"/>
      <c r="C288" s="1572"/>
      <c r="D288" s="1572"/>
      <c r="E288" s="1500"/>
      <c r="F288" s="1500"/>
    </row>
    <row r="289" spans="2:6">
      <c r="B289" s="1500"/>
      <c r="C289" s="1500"/>
      <c r="D289" s="1500"/>
      <c r="E289" s="1500"/>
      <c r="F289" s="1500"/>
    </row>
    <row r="290" spans="2:6">
      <c r="B290" s="1500"/>
      <c r="C290" s="1572"/>
      <c r="D290" s="1572"/>
      <c r="E290" s="1500"/>
      <c r="F290" s="1500"/>
    </row>
    <row r="291" spans="2:6">
      <c r="B291" s="1500"/>
      <c r="C291" s="1500"/>
      <c r="D291" s="1500"/>
      <c r="E291" s="1500"/>
      <c r="F291" s="1500"/>
    </row>
    <row r="292" spans="2:6">
      <c r="B292" s="1558"/>
      <c r="C292" s="1572"/>
      <c r="D292" s="1572"/>
      <c r="E292" s="1500"/>
      <c r="F292" s="1500"/>
    </row>
    <row r="293" spans="2:6">
      <c r="B293" s="1558"/>
      <c r="C293" s="1572"/>
      <c r="D293" s="1572"/>
      <c r="E293" s="1500"/>
      <c r="F293" s="1500"/>
    </row>
    <row r="294" spans="2:6">
      <c r="B294" s="1558"/>
      <c r="C294" s="1572"/>
      <c r="D294" s="1572"/>
      <c r="E294" s="1500"/>
      <c r="F294" s="1500"/>
    </row>
    <row r="295" spans="2:6">
      <c r="B295" s="1558"/>
      <c r="C295" s="1572"/>
      <c r="D295" s="1572"/>
      <c r="E295" s="1500"/>
      <c r="F295" s="1500"/>
    </row>
    <row r="296" spans="2:6" ht="16.5">
      <c r="B296" s="1500"/>
      <c r="C296" s="1574"/>
      <c r="D296" s="1574"/>
      <c r="E296" s="1500"/>
      <c r="F296" s="1500"/>
    </row>
    <row r="297" spans="2:6">
      <c r="B297" s="1500"/>
      <c r="C297" s="1500"/>
      <c r="D297" s="1500"/>
      <c r="E297" s="1500"/>
      <c r="F297" s="1500"/>
    </row>
    <row r="298" spans="2:6">
      <c r="B298" s="1500"/>
      <c r="C298" s="1500"/>
      <c r="D298" s="1500"/>
      <c r="E298" s="1500"/>
      <c r="F298" s="1500"/>
    </row>
    <row r="299" spans="2:6">
      <c r="B299" s="1500"/>
      <c r="C299" s="1500"/>
      <c r="D299" s="1500"/>
      <c r="E299" s="1500"/>
      <c r="F299" s="1500"/>
    </row>
    <row r="300" spans="2:6">
      <c r="B300" s="1500"/>
      <c r="C300" s="1500"/>
      <c r="D300" s="1500"/>
      <c r="E300" s="1500"/>
      <c r="F300" s="1500"/>
    </row>
    <row r="301" spans="2:6">
      <c r="B301" s="1500"/>
      <c r="C301" s="1500"/>
      <c r="D301" s="1500"/>
      <c r="E301" s="1500"/>
      <c r="F301" s="1500"/>
    </row>
    <row r="302" spans="2:6">
      <c r="B302" s="1500"/>
      <c r="C302" s="1500"/>
      <c r="D302" s="1500"/>
      <c r="E302" s="1500"/>
      <c r="F302" s="1500"/>
    </row>
    <row r="303" spans="2:6">
      <c r="B303" s="1500"/>
      <c r="C303" s="1500"/>
      <c r="D303" s="1500"/>
      <c r="E303" s="1500"/>
      <c r="F303" s="1500"/>
    </row>
    <row r="304" spans="2:6">
      <c r="B304" s="1500"/>
      <c r="C304" s="1500"/>
      <c r="D304" s="1500"/>
      <c r="E304" s="1500"/>
      <c r="F304" s="1500"/>
    </row>
    <row r="305" spans="2:6">
      <c r="B305" s="1500"/>
      <c r="C305" s="1500"/>
      <c r="D305" s="1500"/>
      <c r="E305" s="1500"/>
      <c r="F305" s="1500"/>
    </row>
    <row r="306" spans="2:6">
      <c r="B306" s="1500"/>
      <c r="C306" s="1500"/>
      <c r="D306" s="1500"/>
      <c r="E306" s="1500"/>
      <c r="F306" s="1500"/>
    </row>
    <row r="307" spans="2:6">
      <c r="B307" s="1500"/>
      <c r="C307" s="1500"/>
      <c r="D307" s="1500"/>
      <c r="E307" s="1500"/>
      <c r="F307" s="1500"/>
    </row>
    <row r="308" spans="2:6">
      <c r="B308" s="1500"/>
      <c r="C308" s="1500"/>
      <c r="D308" s="1500"/>
      <c r="E308" s="1500"/>
      <c r="F308" s="1500"/>
    </row>
    <row r="309" spans="2:6">
      <c r="B309" s="1500"/>
      <c r="C309" s="1500"/>
      <c r="D309" s="1500"/>
      <c r="E309" s="1500"/>
      <c r="F309" s="1500"/>
    </row>
    <row r="310" spans="2:6">
      <c r="B310" s="1500"/>
      <c r="C310" s="1500"/>
      <c r="D310" s="1500"/>
      <c r="E310" s="1500"/>
      <c r="F310" s="1500"/>
    </row>
    <row r="311" spans="2:6">
      <c r="B311" s="1500"/>
      <c r="C311" s="1500"/>
      <c r="D311" s="1500"/>
      <c r="E311" s="1500"/>
      <c r="F311" s="1500"/>
    </row>
    <row r="312" spans="2:6">
      <c r="B312" s="1500"/>
      <c r="C312" s="1500"/>
      <c r="D312" s="1500"/>
      <c r="E312" s="1500"/>
      <c r="F312" s="1500"/>
    </row>
    <row r="313" spans="2:6">
      <c r="B313" s="1500"/>
      <c r="C313" s="1500"/>
      <c r="D313" s="1500"/>
      <c r="E313" s="1500"/>
      <c r="F313" s="1500"/>
    </row>
    <row r="314" spans="2:6">
      <c r="B314" s="1500"/>
      <c r="C314" s="1500"/>
      <c r="D314" s="1500"/>
      <c r="E314" s="1500"/>
      <c r="F314" s="1500"/>
    </row>
    <row r="315" spans="2:6">
      <c r="B315" s="1500"/>
      <c r="C315" s="1500"/>
      <c r="D315" s="1500"/>
      <c r="E315" s="1500"/>
      <c r="F315" s="1500"/>
    </row>
    <row r="316" spans="2:6">
      <c r="B316" s="1500"/>
      <c r="C316" s="1500"/>
      <c r="D316" s="1500"/>
      <c r="E316" s="1500"/>
      <c r="F316" s="1500"/>
    </row>
    <row r="317" spans="2:6">
      <c r="B317" s="1500"/>
      <c r="C317" s="1500"/>
      <c r="D317" s="1500"/>
      <c r="E317" s="1500"/>
      <c r="F317" s="1500"/>
    </row>
    <row r="318" spans="2:6">
      <c r="B318" s="1500"/>
      <c r="C318" s="1500"/>
      <c r="D318" s="1500"/>
      <c r="E318" s="1500"/>
      <c r="F318" s="1500"/>
    </row>
    <row r="319" spans="2:6">
      <c r="B319" s="1500"/>
      <c r="C319" s="1500"/>
      <c r="D319" s="1500"/>
      <c r="E319" s="1500"/>
      <c r="F319" s="1500"/>
    </row>
    <row r="320" spans="2:6">
      <c r="B320" s="1500"/>
      <c r="C320" s="1500"/>
      <c r="D320" s="1500"/>
      <c r="E320" s="1500"/>
      <c r="F320" s="1500"/>
    </row>
    <row r="321" spans="2:6">
      <c r="B321" s="1500"/>
      <c r="C321" s="1500"/>
      <c r="D321" s="1500"/>
      <c r="E321" s="1500"/>
      <c r="F321" s="1500"/>
    </row>
    <row r="322" spans="2:6">
      <c r="B322" s="1500"/>
      <c r="C322" s="1500"/>
      <c r="D322" s="1500"/>
      <c r="E322" s="1500"/>
      <c r="F322" s="1500"/>
    </row>
    <row r="323" spans="2:6">
      <c r="B323" s="1500"/>
      <c r="C323" s="1500"/>
      <c r="D323" s="1500"/>
      <c r="E323" s="1500"/>
      <c r="F323" s="1500"/>
    </row>
    <row r="324" spans="2:6">
      <c r="B324" s="1500"/>
      <c r="C324" s="1500"/>
      <c r="D324" s="1500"/>
      <c r="E324" s="1500"/>
      <c r="F324" s="1500"/>
    </row>
    <row r="325" spans="2:6">
      <c r="B325" s="1500"/>
      <c r="C325" s="1500"/>
      <c r="D325" s="1500"/>
      <c r="E325" s="1500"/>
      <c r="F325" s="1500"/>
    </row>
    <row r="326" spans="2:6">
      <c r="B326" s="1500"/>
      <c r="C326" s="1500"/>
      <c r="D326" s="1500"/>
      <c r="E326" s="1500"/>
      <c r="F326" s="1500"/>
    </row>
    <row r="327" spans="2:6">
      <c r="B327" s="1500"/>
      <c r="C327" s="1500"/>
      <c r="D327" s="1500"/>
      <c r="E327" s="1500"/>
      <c r="F327" s="1500"/>
    </row>
    <row r="328" spans="2:6">
      <c r="B328" s="1500"/>
      <c r="C328" s="1500"/>
      <c r="D328" s="1500"/>
      <c r="E328" s="1500"/>
      <c r="F328" s="1500"/>
    </row>
  </sheetData>
  <mergeCells count="21">
    <mergeCell ref="B80:E80"/>
    <mergeCell ref="C16:E16"/>
    <mergeCell ref="C17:E17"/>
    <mergeCell ref="C18:E18"/>
    <mergeCell ref="C19:E19"/>
    <mergeCell ref="C20:E20"/>
    <mergeCell ref="B23:B24"/>
    <mergeCell ref="C25:E25"/>
    <mergeCell ref="C27:E27"/>
    <mergeCell ref="B73:E73"/>
    <mergeCell ref="B78:E78"/>
    <mergeCell ref="B79:E79"/>
    <mergeCell ref="C15:E15"/>
    <mergeCell ref="B2:E2"/>
    <mergeCell ref="B7:B8"/>
    <mergeCell ref="C9:E9"/>
    <mergeCell ref="C10:E10"/>
    <mergeCell ref="C11:E11"/>
    <mergeCell ref="C12:E12"/>
    <mergeCell ref="C13:E13"/>
    <mergeCell ref="C14:E14"/>
  </mergeCells>
  <pageMargins left="0.75" right="0.7" top="0.75" bottom="0.75" header="0.3" footer="0.3"/>
  <pageSetup paperSize="9" scale="79" orientation="portrait" r:id="rId1"/>
  <headerFooter>
    <oddFooter xml:space="preserve">&amp;C&amp;"Book Antiqua,Regular"&amp;12 </oddFooter>
  </headerFooter>
</worksheet>
</file>

<file path=xl/worksheets/sheet8.xml><?xml version="1.0" encoding="utf-8"?>
<worksheet xmlns="http://schemas.openxmlformats.org/spreadsheetml/2006/main" xmlns:r="http://schemas.openxmlformats.org/officeDocument/2006/relationships">
  <sheetPr>
    <tabColor rgb="FFFF0000"/>
  </sheetPr>
  <dimension ref="B1:L38"/>
  <sheetViews>
    <sheetView view="pageBreakPreview" topLeftCell="A9" zoomScaleSheetLayoutView="100" workbookViewId="0">
      <selection activeCell="C4" sqref="C4:K24"/>
    </sheetView>
  </sheetViews>
  <sheetFormatPr defaultRowHeight="15.75"/>
  <cols>
    <col min="1" max="1" width="1.5703125" style="1501" customWidth="1"/>
    <col min="2" max="2" width="2.140625" style="1501" customWidth="1"/>
    <col min="3" max="3" width="3.5703125" style="1501" customWidth="1"/>
    <col min="4" max="4" width="9.140625" style="1501"/>
    <col min="5" max="5" width="10.28515625" style="1501" customWidth="1"/>
    <col min="6" max="6" width="20.5703125" style="1501" customWidth="1"/>
    <col min="7" max="7" width="5.140625" style="1501" customWidth="1"/>
    <col min="8" max="8" width="15.28515625" style="1501" customWidth="1"/>
    <col min="9" max="9" width="16.85546875" style="1501" customWidth="1"/>
    <col min="10" max="10" width="15.5703125" style="1501" customWidth="1"/>
    <col min="11" max="11" width="16.7109375" style="1501" customWidth="1"/>
    <col min="12" max="12" width="2.140625" style="1501" customWidth="1"/>
    <col min="13" max="16384" width="9.140625" style="1501"/>
  </cols>
  <sheetData>
    <row r="1" spans="2:12" s="884" customFormat="1" ht="18.75">
      <c r="B1" s="1732" t="s">
        <v>17</v>
      </c>
      <c r="C1" s="1732"/>
      <c r="D1" s="1732"/>
      <c r="E1" s="1732"/>
      <c r="F1" s="1732"/>
      <c r="G1" s="1732"/>
      <c r="H1" s="1732"/>
      <c r="I1" s="1732"/>
      <c r="J1" s="1732"/>
      <c r="K1" s="1732"/>
      <c r="L1" s="1578"/>
    </row>
    <row r="2" spans="2:12" s="884" customFormat="1" ht="19.5" thickBot="1">
      <c r="B2" s="1579"/>
      <c r="C2" s="1579"/>
      <c r="D2" s="1579"/>
      <c r="E2" s="1579"/>
      <c r="F2" s="1579"/>
      <c r="G2" s="1579"/>
      <c r="H2" s="1579"/>
      <c r="I2" s="1579"/>
      <c r="J2" s="1579"/>
      <c r="K2" s="1579"/>
      <c r="L2" s="1578"/>
    </row>
    <row r="3" spans="2:12">
      <c r="B3" s="1580"/>
      <c r="C3" s="1581"/>
      <c r="D3" s="1581"/>
      <c r="E3" s="1581"/>
      <c r="F3" s="1581"/>
      <c r="G3" s="1581"/>
      <c r="H3" s="1581"/>
      <c r="I3" s="1581"/>
      <c r="J3" s="1581"/>
      <c r="K3" s="1581"/>
      <c r="L3" s="1582"/>
    </row>
    <row r="4" spans="2:12" ht="18" thickBot="1">
      <c r="B4" s="1583"/>
      <c r="C4" s="1584" t="s">
        <v>18</v>
      </c>
      <c r="D4" s="1585"/>
      <c r="E4" s="1585"/>
      <c r="F4" s="1585"/>
      <c r="G4" s="1585"/>
      <c r="H4" s="1585"/>
      <c r="I4" s="1585"/>
      <c r="J4" s="1585"/>
      <c r="K4" s="1585"/>
      <c r="L4" s="1586"/>
    </row>
    <row r="5" spans="2:12" ht="18" thickBot="1">
      <c r="B5" s="1587"/>
      <c r="C5" s="1500"/>
      <c r="D5" s="1500"/>
      <c r="E5" s="1500"/>
      <c r="F5" s="1500"/>
      <c r="G5" s="1500"/>
      <c r="H5" s="1500"/>
      <c r="I5" s="1500"/>
      <c r="J5" s="1500"/>
      <c r="K5" s="1500"/>
      <c r="L5" s="1586"/>
    </row>
    <row r="6" spans="2:12" ht="17.25">
      <c r="B6" s="1587"/>
      <c r="C6" s="1500"/>
      <c r="D6" s="1500"/>
      <c r="E6" s="1500"/>
      <c r="F6" s="1500"/>
      <c r="G6" s="1500"/>
      <c r="H6" s="1500"/>
      <c r="I6" s="1500"/>
      <c r="J6" s="1588">
        <v>2020</v>
      </c>
      <c r="K6" s="1589">
        <v>2019</v>
      </c>
      <c r="L6" s="1590"/>
    </row>
    <row r="7" spans="2:12" ht="17.25" thickBot="1">
      <c r="B7" s="1583"/>
      <c r="C7" s="1585"/>
      <c r="D7" s="1585"/>
      <c r="E7" s="1585"/>
      <c r="F7" s="1585"/>
      <c r="G7" s="1585"/>
      <c r="H7" s="1585"/>
      <c r="I7" s="1585"/>
      <c r="J7" s="1591" t="s">
        <v>19</v>
      </c>
      <c r="K7" s="1592" t="s">
        <v>19</v>
      </c>
      <c r="L7" s="1590"/>
    </row>
    <row r="8" spans="2:12" ht="15.95" customHeight="1">
      <c r="B8" s="1583"/>
      <c r="C8" s="1593" t="s">
        <v>957</v>
      </c>
      <c r="D8" s="1593"/>
      <c r="E8" s="1593"/>
      <c r="F8" s="1593"/>
      <c r="G8" s="1593"/>
      <c r="H8" s="1593"/>
      <c r="I8" s="1593"/>
      <c r="J8" s="987">
        <v>13.6</v>
      </c>
      <c r="K8" s="985">
        <v>16.3</v>
      </c>
      <c r="L8" s="1029"/>
    </row>
    <row r="9" spans="2:12" ht="15.95" customHeight="1">
      <c r="B9" s="1583"/>
      <c r="C9" s="1534" t="s">
        <v>958</v>
      </c>
      <c r="D9" s="1534"/>
      <c r="E9" s="1534"/>
      <c r="F9" s="1534"/>
      <c r="G9" s="1534"/>
      <c r="H9" s="1534"/>
      <c r="I9" s="1534"/>
      <c r="J9" s="987">
        <v>11</v>
      </c>
      <c r="K9" s="988">
        <v>13.9</v>
      </c>
      <c r="L9" s="1029"/>
    </row>
    <row r="10" spans="2:12" ht="15.95" customHeight="1">
      <c r="B10" s="1583"/>
      <c r="C10" s="1594" t="s">
        <v>959</v>
      </c>
      <c r="D10" s="1594"/>
      <c r="E10" s="1594"/>
      <c r="F10" s="1534"/>
      <c r="G10" s="1534"/>
      <c r="H10" s="1534"/>
      <c r="I10" s="1534"/>
      <c r="J10" s="987">
        <v>13.1</v>
      </c>
      <c r="K10" s="988">
        <v>14.8</v>
      </c>
      <c r="L10" s="1029"/>
    </row>
    <row r="11" spans="2:12" ht="9.75" customHeight="1" thickBot="1">
      <c r="B11" s="1583"/>
      <c r="C11" s="1500"/>
      <c r="D11" s="1500"/>
      <c r="E11" s="1500"/>
      <c r="F11" s="1500"/>
      <c r="G11" s="1500"/>
      <c r="H11" s="1500"/>
      <c r="I11" s="1500"/>
      <c r="J11" s="976"/>
      <c r="K11" s="889"/>
      <c r="L11" s="1029"/>
    </row>
    <row r="12" spans="2:12">
      <c r="B12" s="1583"/>
      <c r="C12" s="1500"/>
      <c r="D12" s="1500"/>
      <c r="E12" s="1500"/>
      <c r="F12" s="1500"/>
      <c r="G12" s="1500"/>
      <c r="H12" s="1500"/>
      <c r="I12" s="1500"/>
      <c r="J12" s="1500"/>
      <c r="K12" s="1500"/>
      <c r="L12" s="1586"/>
    </row>
    <row r="13" spans="2:12">
      <c r="B13" s="1583"/>
      <c r="C13" s="1500"/>
      <c r="D13" s="1500"/>
      <c r="E13" s="1500"/>
      <c r="F13" s="1500"/>
      <c r="G13" s="1500"/>
      <c r="H13" s="1500"/>
      <c r="I13" s="1500"/>
      <c r="J13" s="1500"/>
      <c r="K13" s="1500"/>
      <c r="L13" s="1586"/>
    </row>
    <row r="14" spans="2:12" ht="18" thickBot="1">
      <c r="B14" s="1583"/>
      <c r="C14" s="1584" t="s">
        <v>447</v>
      </c>
      <c r="D14" s="1585"/>
      <c r="E14" s="1585"/>
      <c r="F14" s="1585"/>
      <c r="G14" s="1585"/>
      <c r="H14" s="1585"/>
      <c r="I14" s="1585"/>
      <c r="J14" s="1585"/>
      <c r="K14" s="1585"/>
      <c r="L14" s="1586"/>
    </row>
    <row r="15" spans="2:12" ht="15" customHeight="1">
      <c r="B15" s="1583"/>
      <c r="C15" s="1595" t="s">
        <v>960</v>
      </c>
      <c r="D15" s="1595"/>
      <c r="E15" s="1595"/>
      <c r="F15" s="1595"/>
      <c r="G15" s="1595"/>
      <c r="H15" s="1595"/>
      <c r="I15" s="1595"/>
      <c r="J15" s="1595"/>
      <c r="K15" s="1595"/>
      <c r="L15" s="1586"/>
    </row>
    <row r="16" spans="2:12">
      <c r="B16" s="1583"/>
      <c r="C16" s="1500"/>
      <c r="D16" s="1500"/>
      <c r="E16" s="1500"/>
      <c r="F16" s="1500"/>
      <c r="G16" s="1500"/>
      <c r="H16" s="1500"/>
      <c r="I16" s="1500"/>
      <c r="J16" s="1500"/>
      <c r="K16" s="1500"/>
      <c r="L16" s="1586"/>
    </row>
    <row r="17" spans="2:12" ht="16.5" thickBot="1">
      <c r="B17" s="1583"/>
      <c r="C17" s="1500"/>
      <c r="D17" s="1500"/>
      <c r="E17" s="1500"/>
      <c r="F17" s="1500"/>
      <c r="G17" s="1500"/>
      <c r="H17" s="1500"/>
      <c r="I17" s="1500"/>
      <c r="J17" s="1500"/>
      <c r="K17" s="1500"/>
      <c r="L17" s="1586"/>
    </row>
    <row r="18" spans="2:12" ht="16.5">
      <c r="B18" s="1583"/>
      <c r="C18" s="1500"/>
      <c r="D18" s="1500"/>
      <c r="E18" s="1500"/>
      <c r="F18" s="1500"/>
      <c r="G18" s="1500"/>
      <c r="H18" s="1733" t="s">
        <v>886</v>
      </c>
      <c r="I18" s="1734"/>
      <c r="J18" s="1735" t="s">
        <v>879</v>
      </c>
      <c r="K18" s="1736"/>
      <c r="L18" s="1590"/>
    </row>
    <row r="19" spans="2:12" ht="17.25" thickBot="1">
      <c r="B19" s="1583"/>
      <c r="C19" s="1585"/>
      <c r="D19" s="1585"/>
      <c r="E19" s="1585"/>
      <c r="F19" s="1585"/>
      <c r="G19" s="1585"/>
      <c r="H19" s="1596" t="s">
        <v>21</v>
      </c>
      <c r="I19" s="1597" t="s">
        <v>19</v>
      </c>
      <c r="J19" s="1598" t="s">
        <v>21</v>
      </c>
      <c r="K19" s="1598" t="s">
        <v>19</v>
      </c>
      <c r="L19" s="1599"/>
    </row>
    <row r="20" spans="2:12" ht="16.5">
      <c r="B20" s="1583"/>
      <c r="C20" s="1500"/>
      <c r="D20" s="1500"/>
      <c r="E20" s="1500"/>
      <c r="F20" s="1500"/>
      <c r="G20" s="1500"/>
      <c r="H20" s="1600"/>
      <c r="I20" s="1601"/>
      <c r="J20" s="1500"/>
      <c r="K20" s="1500"/>
      <c r="L20" s="1586"/>
    </row>
    <row r="21" spans="2:12">
      <c r="B21" s="1583"/>
      <c r="C21" s="1595" t="s">
        <v>22</v>
      </c>
      <c r="D21" s="990"/>
      <c r="E21" s="990"/>
      <c r="F21" s="990"/>
      <c r="G21" s="990"/>
      <c r="H21" s="1602">
        <v>1579862482</v>
      </c>
      <c r="I21" s="1493">
        <v>11886073308.209999</v>
      </c>
      <c r="J21" s="992">
        <v>1579862482</v>
      </c>
      <c r="K21" s="992">
        <v>11886073308.209999</v>
      </c>
      <c r="L21" s="1155"/>
    </row>
    <row r="22" spans="2:12">
      <c r="B22" s="1583"/>
      <c r="C22" s="1534" t="s">
        <v>143</v>
      </c>
      <c r="D22" s="1534"/>
      <c r="E22" s="1534"/>
      <c r="F22" s="1534"/>
      <c r="G22" s="1534"/>
      <c r="H22" s="1494">
        <v>0</v>
      </c>
      <c r="I22" s="1495">
        <v>1350000000</v>
      </c>
      <c r="J22" s="995">
        <v>0</v>
      </c>
      <c r="K22" s="996">
        <v>1350000000</v>
      </c>
      <c r="L22" s="1155"/>
    </row>
    <row r="23" spans="2:12" ht="15" customHeight="1">
      <c r="B23" s="1583"/>
      <c r="C23" s="1500" t="s">
        <v>880</v>
      </c>
      <c r="D23" s="1500"/>
      <c r="E23" s="1500"/>
      <c r="F23" s="1500"/>
      <c r="G23" s="1500"/>
      <c r="H23" s="1496">
        <v>47840906</v>
      </c>
      <c r="I23" s="1497">
        <v>679340867</v>
      </c>
      <c r="J23" s="995">
        <v>47840906</v>
      </c>
      <c r="K23" s="996">
        <v>679340867</v>
      </c>
      <c r="L23" s="1586"/>
    </row>
    <row r="24" spans="2:12" ht="17.25" thickBot="1">
      <c r="B24" s="1583"/>
      <c r="C24" s="1603" t="s">
        <v>23</v>
      </c>
      <c r="D24" s="1604"/>
      <c r="E24" s="1604"/>
      <c r="F24" s="1604"/>
      <c r="G24" s="1604"/>
      <c r="H24" s="1605">
        <v>1627703388</v>
      </c>
      <c r="I24" s="1606">
        <v>13915414175.209999</v>
      </c>
      <c r="J24" s="1607">
        <v>1627703388</v>
      </c>
      <c r="K24" s="1607">
        <v>13915414175.209999</v>
      </c>
      <c r="L24" s="1608"/>
    </row>
    <row r="25" spans="2:12" ht="14.25" customHeight="1" thickBot="1">
      <c r="B25" s="1583"/>
      <c r="C25" s="1524"/>
      <c r="D25" s="1500"/>
      <c r="E25" s="1500"/>
      <c r="F25" s="1500"/>
      <c r="G25" s="1500"/>
      <c r="H25" s="1609"/>
      <c r="I25" s="1610"/>
      <c r="J25" s="1611"/>
      <c r="K25" s="1611"/>
      <c r="L25" s="1608"/>
    </row>
    <row r="26" spans="2:12">
      <c r="B26" s="1583"/>
      <c r="C26" s="1500"/>
      <c r="D26" s="1500"/>
      <c r="E26" s="1500"/>
      <c r="F26" s="1500"/>
      <c r="G26" s="1500"/>
      <c r="H26" s="1500"/>
      <c r="I26" s="1573"/>
      <c r="J26" s="1500"/>
      <c r="K26" s="1500"/>
      <c r="L26" s="1586"/>
    </row>
    <row r="27" spans="2:12">
      <c r="B27" s="1583"/>
      <c r="C27" s="1500"/>
      <c r="D27" s="1500"/>
      <c r="E27" s="1500"/>
      <c r="F27" s="1500"/>
      <c r="G27" s="1500"/>
      <c r="H27" s="1500"/>
      <c r="I27" s="1500"/>
      <c r="J27" s="1572"/>
      <c r="K27" s="1500"/>
      <c r="L27" s="1586"/>
    </row>
    <row r="28" spans="2:12">
      <c r="B28" s="1583"/>
      <c r="C28" s="1500"/>
      <c r="D28" s="1500"/>
      <c r="E28" s="1500"/>
      <c r="F28" s="1500"/>
      <c r="G28" s="1500"/>
      <c r="H28" s="1500"/>
      <c r="I28" s="1500"/>
      <c r="J28" s="1500"/>
      <c r="K28" s="1500"/>
      <c r="L28" s="1586"/>
    </row>
    <row r="29" spans="2:12">
      <c r="B29" s="1583"/>
      <c r="C29" s="1500"/>
      <c r="D29" s="1500"/>
      <c r="E29" s="1500"/>
      <c r="F29" s="1500"/>
      <c r="G29" s="1500"/>
      <c r="H29" s="1500"/>
      <c r="I29" s="1500"/>
      <c r="J29" s="1500"/>
      <c r="K29" s="1500"/>
      <c r="L29" s="1586"/>
    </row>
    <row r="30" spans="2:12" ht="16.5" thickBot="1">
      <c r="B30" s="1612"/>
      <c r="C30" s="1585"/>
      <c r="D30" s="1585"/>
      <c r="E30" s="1585"/>
      <c r="F30" s="1585"/>
      <c r="G30" s="1585"/>
      <c r="H30" s="1585"/>
      <c r="I30" s="1585"/>
      <c r="J30" s="1585"/>
      <c r="K30" s="1585"/>
      <c r="L30" s="1613"/>
    </row>
    <row r="32" spans="2:12">
      <c r="H32" s="969"/>
    </row>
    <row r="37" spans="2:2">
      <c r="B37" s="1731"/>
    </row>
    <row r="38" spans="2:2" ht="9" customHeight="1">
      <c r="B38" s="1731"/>
    </row>
  </sheetData>
  <mergeCells count="4">
    <mergeCell ref="B37:B38"/>
    <mergeCell ref="B1:K1"/>
    <mergeCell ref="H18:I18"/>
    <mergeCell ref="J18:K18"/>
  </mergeCells>
  <pageMargins left="0.7" right="0.35" top="0.75" bottom="0.75" header="0.3" footer="0.3"/>
  <pageSetup paperSize="9" scale="80" orientation="portrait" r:id="rId1"/>
  <headerFooter>
    <oddFooter xml:space="preserve">&amp;C&amp;"Book Antiqua,Regular"&amp;12 </oddFooter>
  </headerFooter>
</worksheet>
</file>

<file path=xl/worksheets/sheet9.xml><?xml version="1.0" encoding="utf-8"?>
<worksheet xmlns="http://schemas.openxmlformats.org/spreadsheetml/2006/main" xmlns:r="http://schemas.openxmlformats.org/officeDocument/2006/relationships">
  <sheetPr>
    <tabColor rgb="FFFF0000"/>
    <pageSetUpPr fitToPage="1"/>
  </sheetPr>
  <dimension ref="B2:P38"/>
  <sheetViews>
    <sheetView view="pageBreakPreview" topLeftCell="A19" zoomScale="89" zoomScaleSheetLayoutView="89" workbookViewId="0">
      <selection activeCell="E31" sqref="E31"/>
    </sheetView>
  </sheetViews>
  <sheetFormatPr defaultColWidth="9.140625" defaultRowHeight="15.75"/>
  <cols>
    <col min="1" max="1" width="9.140625" style="9"/>
    <col min="2" max="2" width="2.5703125" style="9" customWidth="1"/>
    <col min="3" max="3" width="49.140625" style="9" customWidth="1"/>
    <col min="4" max="4" width="1.85546875" style="9" customWidth="1"/>
    <col min="5" max="5" width="13.42578125" style="46" customWidth="1"/>
    <col min="6" max="6" width="0.85546875" style="10" customWidth="1"/>
    <col min="7" max="7" width="11.7109375" style="9" customWidth="1"/>
    <col min="8" max="8" width="1" style="9" customWidth="1"/>
    <col min="9" max="9" width="9.5703125" style="9" customWidth="1"/>
    <col min="10" max="10" width="0.85546875" style="9" customWidth="1"/>
    <col min="11" max="11" width="13.5703125" style="13" customWidth="1"/>
    <col min="12" max="12" width="0.85546875" style="12" customWidth="1"/>
    <col min="13" max="13" width="11.7109375" style="13" customWidth="1"/>
    <col min="14" max="14" width="0.85546875" style="13" customWidth="1"/>
    <col min="15" max="15" width="9.5703125" style="9" customWidth="1"/>
    <col min="16" max="16" width="2.140625" style="9" customWidth="1"/>
    <col min="17" max="16384" width="9.140625" style="9"/>
  </cols>
  <sheetData>
    <row r="2" spans="2:16" ht="78" customHeight="1">
      <c r="B2" s="1737" t="s">
        <v>517</v>
      </c>
      <c r="C2" s="1737"/>
      <c r="D2" s="1737"/>
      <c r="E2" s="1737"/>
      <c r="F2" s="1737"/>
      <c r="G2" s="1737"/>
      <c r="H2" s="1737"/>
      <c r="I2" s="1737"/>
      <c r="J2" s="1737"/>
      <c r="K2" s="1737"/>
      <c r="L2" s="1737"/>
      <c r="M2" s="1737"/>
      <c r="N2" s="1737"/>
      <c r="O2" s="1737"/>
      <c r="P2" s="1737"/>
    </row>
    <row r="3" spans="2:16">
      <c r="C3" s="565"/>
      <c r="D3" s="313"/>
      <c r="E3" s="313"/>
      <c r="F3" s="313"/>
      <c r="G3" s="313"/>
      <c r="H3" s="313"/>
      <c r="I3" s="313"/>
      <c r="J3" s="313"/>
      <c r="K3" s="313"/>
      <c r="L3" s="313"/>
      <c r="M3" s="313"/>
      <c r="N3" s="313"/>
      <c r="O3" s="313"/>
      <c r="P3" s="13"/>
    </row>
    <row r="4" spans="2:16" ht="18.75">
      <c r="B4" s="1738" t="s">
        <v>350</v>
      </c>
      <c r="C4" s="1709"/>
      <c r="D4" s="1709"/>
      <c r="E4" s="1709"/>
      <c r="F4" s="1709"/>
      <c r="G4" s="1709"/>
      <c r="H4" s="1709"/>
      <c r="I4" s="1709"/>
      <c r="J4" s="1709"/>
      <c r="K4" s="1709"/>
      <c r="L4" s="1709"/>
      <c r="M4" s="1709"/>
      <c r="N4" s="1709"/>
      <c r="O4" s="1709"/>
      <c r="P4" s="1709"/>
    </row>
    <row r="5" spans="2:16" ht="19.5" thickBot="1">
      <c r="B5" s="618"/>
      <c r="C5" s="461"/>
      <c r="D5" s="461"/>
      <c r="E5" s="461"/>
      <c r="F5" s="461"/>
      <c r="G5" s="461"/>
      <c r="H5" s="461"/>
      <c r="I5" s="461"/>
      <c r="J5" s="461"/>
      <c r="K5" s="461"/>
      <c r="L5" s="461"/>
      <c r="M5" s="461"/>
      <c r="N5" s="461"/>
      <c r="O5" s="461"/>
      <c r="P5" s="461"/>
    </row>
    <row r="6" spans="2:16" s="566" customFormat="1" ht="16.5">
      <c r="B6" s="619"/>
      <c r="C6" s="620"/>
      <c r="D6" s="621"/>
      <c r="E6" s="621"/>
      <c r="F6" s="621"/>
      <c r="G6" s="621"/>
      <c r="H6" s="621"/>
      <c r="I6" s="621"/>
      <c r="J6" s="621"/>
      <c r="K6" s="621"/>
      <c r="L6" s="621"/>
      <c r="M6" s="621"/>
      <c r="N6" s="621"/>
      <c r="O6" s="621"/>
      <c r="P6" s="622"/>
    </row>
    <row r="7" spans="2:16" s="566" customFormat="1" ht="17.25" thickBot="1">
      <c r="B7" s="623"/>
      <c r="C7" s="570"/>
      <c r="D7" s="570"/>
      <c r="E7" s="1712" t="s">
        <v>407</v>
      </c>
      <c r="F7" s="1712"/>
      <c r="G7" s="1712"/>
      <c r="H7" s="1712"/>
      <c r="I7" s="1712"/>
      <c r="J7" s="571"/>
      <c r="K7" s="1713" t="s">
        <v>351</v>
      </c>
      <c r="L7" s="1713" t="s">
        <v>78</v>
      </c>
      <c r="M7" s="1713"/>
      <c r="N7" s="572"/>
      <c r="O7" s="573"/>
      <c r="P7" s="624"/>
    </row>
    <row r="8" spans="2:16" s="566" customFormat="1" ht="16.5">
      <c r="B8" s="623"/>
      <c r="C8" s="570"/>
      <c r="D8" s="570"/>
      <c r="E8" s="574" t="str">
        <f>BS!E7</f>
        <v>30.09.2014</v>
      </c>
      <c r="F8" s="575"/>
      <c r="G8" s="576" t="str">
        <f>BS!G7</f>
        <v>30.09.2013</v>
      </c>
      <c r="H8" s="576"/>
      <c r="I8" s="576" t="s">
        <v>391</v>
      </c>
      <c r="J8" s="576"/>
      <c r="K8" s="574" t="str">
        <f>E8</f>
        <v>30.09.2014</v>
      </c>
      <c r="L8" s="576"/>
      <c r="M8" s="576" t="str">
        <f>G8</f>
        <v>30.09.2013</v>
      </c>
      <c r="N8" s="576"/>
      <c r="O8" s="576" t="s">
        <v>391</v>
      </c>
      <c r="P8" s="624"/>
    </row>
    <row r="9" spans="2:16" s="566" customFormat="1" ht="16.5">
      <c r="B9" s="623"/>
      <c r="C9" s="570"/>
      <c r="D9" s="570"/>
      <c r="E9" s="577" t="s">
        <v>150</v>
      </c>
      <c r="F9" s="575"/>
      <c r="G9" s="576" t="s">
        <v>150</v>
      </c>
      <c r="H9" s="576"/>
      <c r="I9" s="576" t="s">
        <v>28</v>
      </c>
      <c r="J9" s="576"/>
      <c r="K9" s="577" t="s">
        <v>150</v>
      </c>
      <c r="L9" s="576"/>
      <c r="M9" s="576" t="s">
        <v>150</v>
      </c>
      <c r="N9" s="576"/>
      <c r="O9" s="576" t="s">
        <v>28</v>
      </c>
      <c r="P9" s="624"/>
    </row>
    <row r="10" spans="2:16" s="566" customFormat="1" ht="17.25" thickBot="1">
      <c r="B10" s="623"/>
      <c r="C10" s="578"/>
      <c r="D10" s="578"/>
      <c r="E10" s="579" t="s">
        <v>148</v>
      </c>
      <c r="F10" s="580"/>
      <c r="G10" s="581" t="s">
        <v>163</v>
      </c>
      <c r="H10" s="581"/>
      <c r="I10" s="581"/>
      <c r="J10" s="581"/>
      <c r="K10" s="579" t="s">
        <v>148</v>
      </c>
      <c r="L10" s="582"/>
      <c r="M10" s="581" t="s">
        <v>148</v>
      </c>
      <c r="N10" s="581"/>
      <c r="O10" s="583"/>
      <c r="P10" s="624"/>
    </row>
    <row r="11" spans="2:16" s="566" customFormat="1" ht="20.100000000000001" customHeight="1">
      <c r="B11" s="623"/>
      <c r="C11" s="612" t="s">
        <v>79</v>
      </c>
      <c r="D11" s="612"/>
      <c r="E11" s="613">
        <f>ROUND('P &amp; L (company)'!C7/1000000,0)</f>
        <v>0</v>
      </c>
      <c r="F11" s="614"/>
      <c r="G11" s="614">
        <f>ROUND('P &amp; L (company)'!E7/1000000,0)</f>
        <v>0</v>
      </c>
      <c r="H11" s="614"/>
      <c r="I11" s="615" t="e">
        <f t="shared" ref="I11:I18" si="0">(E11/G11-1)*100</f>
        <v>#DIV/0!</v>
      </c>
      <c r="J11" s="614"/>
      <c r="K11" s="613">
        <f>ROUND('P &amp; L (company)'!I7/1000000,0)</f>
        <v>-19534</v>
      </c>
      <c r="L11" s="614"/>
      <c r="M11" s="614">
        <f>ROUND('P &amp; L (company)'!K7/1000000,0)</f>
        <v>-17245</v>
      </c>
      <c r="N11" s="614"/>
      <c r="O11" s="615">
        <f t="shared" ref="O11:O18" si="1">(K11/M11-1)*100</f>
        <v>13.273412583357501</v>
      </c>
      <c r="P11" s="624"/>
    </row>
    <row r="12" spans="2:16" s="566" customFormat="1" ht="20.100000000000001" customHeight="1">
      <c r="B12" s="623"/>
      <c r="C12" s="605" t="s">
        <v>333</v>
      </c>
      <c r="D12" s="605"/>
      <c r="E12" s="587">
        <f>ROUND('P &amp; L (company)'!C8/1000000,0)</f>
        <v>0</v>
      </c>
      <c r="F12" s="588"/>
      <c r="G12" s="588">
        <f>ROUND('P &amp; L (company)'!E8/1000000,0)</f>
        <v>0</v>
      </c>
      <c r="H12" s="588"/>
      <c r="I12" s="606" t="e">
        <f t="shared" si="0"/>
        <v>#DIV/0!</v>
      </c>
      <c r="J12" s="588"/>
      <c r="K12" s="587">
        <f>ROUND('P &amp; L (company)'!I8/1000000,0)</f>
        <v>-11266</v>
      </c>
      <c r="L12" s="588"/>
      <c r="M12" s="588">
        <f>ROUND('P &amp; L (company)'!K8/1000000,0)</f>
        <v>-10140</v>
      </c>
      <c r="N12" s="588"/>
      <c r="O12" s="606">
        <f t="shared" si="1"/>
        <v>11.104536489151883</v>
      </c>
      <c r="P12" s="624"/>
    </row>
    <row r="13" spans="2:16" s="589" customFormat="1" ht="20.100000000000001" customHeight="1">
      <c r="B13" s="625"/>
      <c r="C13" s="639" t="s">
        <v>80</v>
      </c>
      <c r="D13" s="639"/>
      <c r="E13" s="640">
        <f>E11-E12</f>
        <v>0</v>
      </c>
      <c r="F13" s="641"/>
      <c r="G13" s="641">
        <f>G11-G12</f>
        <v>0</v>
      </c>
      <c r="H13" s="641"/>
      <c r="I13" s="642" t="e">
        <f t="shared" si="0"/>
        <v>#DIV/0!</v>
      </c>
      <c r="J13" s="641"/>
      <c r="K13" s="640">
        <f>K11-K12</f>
        <v>-8268</v>
      </c>
      <c r="L13" s="641"/>
      <c r="M13" s="641">
        <f>M11-M12</f>
        <v>-7105</v>
      </c>
      <c r="N13" s="641"/>
      <c r="O13" s="642">
        <f t="shared" si="1"/>
        <v>16.368754398311047</v>
      </c>
      <c r="P13" s="626"/>
    </row>
    <row r="14" spans="2:16" s="566" customFormat="1" ht="20.100000000000001" customHeight="1">
      <c r="B14" s="623"/>
      <c r="C14" s="643" t="s">
        <v>334</v>
      </c>
      <c r="D14" s="643"/>
      <c r="E14" s="644">
        <f>ROUND('P &amp; L (company)'!C10/1000000,0)</f>
        <v>0</v>
      </c>
      <c r="F14" s="645"/>
      <c r="G14" s="645">
        <f>ROUND('P &amp; L (company)'!E10/1000000,0)</f>
        <v>0</v>
      </c>
      <c r="H14" s="645"/>
      <c r="I14" s="646" t="e">
        <f t="shared" si="0"/>
        <v>#DIV/0!</v>
      </c>
      <c r="J14" s="645"/>
      <c r="K14" s="644">
        <f>ROUND('P &amp; L (company)'!I10/1000000,0)</f>
        <v>-854</v>
      </c>
      <c r="L14" s="645"/>
      <c r="M14" s="645">
        <f>ROUND('P &amp; L (company)'!K10/1000000,0)</f>
        <v>-731</v>
      </c>
      <c r="N14" s="645"/>
      <c r="O14" s="646">
        <f t="shared" si="1"/>
        <v>16.82626538987688</v>
      </c>
      <c r="P14" s="624"/>
    </row>
    <row r="15" spans="2:16" s="566" customFormat="1" ht="19.5" customHeight="1">
      <c r="B15" s="623"/>
      <c r="C15" s="605" t="s">
        <v>152</v>
      </c>
      <c r="D15" s="605"/>
      <c r="E15" s="587">
        <f>ROUND('P &amp; L (company)'!C11/1000000,0)</f>
        <v>0</v>
      </c>
      <c r="F15" s="588"/>
      <c r="G15" s="588">
        <f>ROUND('P &amp; L (company)'!E11/1000000,0)</f>
        <v>0</v>
      </c>
      <c r="H15" s="588"/>
      <c r="I15" s="606" t="e">
        <f t="shared" si="0"/>
        <v>#DIV/0!</v>
      </c>
      <c r="J15" s="588"/>
      <c r="K15" s="587">
        <f>ROUND('P &amp; L (company)'!I11/1000000,0)</f>
        <v>-241</v>
      </c>
      <c r="L15" s="588"/>
      <c r="M15" s="588">
        <f>ROUND('P &amp; L (company)'!K11/1000000,0)</f>
        <v>-228</v>
      </c>
      <c r="N15" s="588"/>
      <c r="O15" s="606">
        <f t="shared" si="1"/>
        <v>5.7017543859649189</v>
      </c>
      <c r="P15" s="624"/>
    </row>
    <row r="16" spans="2:16" s="589" customFormat="1" ht="19.5" customHeight="1">
      <c r="B16" s="625"/>
      <c r="C16" s="639" t="s">
        <v>81</v>
      </c>
      <c r="D16" s="639"/>
      <c r="E16" s="640">
        <f>E13+E14+E15</f>
        <v>0</v>
      </c>
      <c r="F16" s="641"/>
      <c r="G16" s="641">
        <f>G13+G14+G15</f>
        <v>0</v>
      </c>
      <c r="H16" s="641"/>
      <c r="I16" s="642" t="e">
        <f t="shared" si="0"/>
        <v>#DIV/0!</v>
      </c>
      <c r="J16" s="641"/>
      <c r="K16" s="640">
        <f>K13+K14+K15</f>
        <v>-9363</v>
      </c>
      <c r="L16" s="641"/>
      <c r="M16" s="641">
        <f>M13+M14+M15</f>
        <v>-8064</v>
      </c>
      <c r="N16" s="641"/>
      <c r="O16" s="642">
        <f t="shared" si="1"/>
        <v>16.108630952380953</v>
      </c>
      <c r="P16" s="626"/>
    </row>
    <row r="17" spans="2:16" s="566" customFormat="1" ht="19.5" customHeight="1">
      <c r="B17" s="623"/>
      <c r="C17" s="605" t="s">
        <v>153</v>
      </c>
      <c r="D17" s="605"/>
      <c r="E17" s="587">
        <f>ROUND('P &amp; L (company)'!C13/1000000,0)</f>
        <v>0</v>
      </c>
      <c r="F17" s="588"/>
      <c r="G17" s="588">
        <f>ROUND('P &amp; L (company)'!E13/1000000,0)</f>
        <v>0</v>
      </c>
      <c r="H17" s="588"/>
      <c r="I17" s="606" t="e">
        <f t="shared" si="0"/>
        <v>#DIV/0!</v>
      </c>
      <c r="J17" s="588"/>
      <c r="K17" s="587">
        <f>ROUND('P &amp; L (company)'!I13/1000000,0)</f>
        <v>-1218</v>
      </c>
      <c r="L17" s="607"/>
      <c r="M17" s="588">
        <f>ROUND('P &amp; L (company)'!K13/1000000,0)</f>
        <v>-698</v>
      </c>
      <c r="N17" s="607"/>
      <c r="O17" s="606">
        <f t="shared" si="1"/>
        <v>74.498567335243564</v>
      </c>
      <c r="P17" s="624"/>
    </row>
    <row r="18" spans="2:16" s="589" customFormat="1" ht="19.5" customHeight="1">
      <c r="B18" s="625"/>
      <c r="C18" s="639" t="s">
        <v>82</v>
      </c>
      <c r="D18" s="639"/>
      <c r="E18" s="640">
        <f>E16-E17</f>
        <v>0</v>
      </c>
      <c r="F18" s="641"/>
      <c r="G18" s="641">
        <f>G16-G17</f>
        <v>0</v>
      </c>
      <c r="H18" s="641"/>
      <c r="I18" s="642" t="e">
        <f t="shared" si="0"/>
        <v>#DIV/0!</v>
      </c>
      <c r="J18" s="641"/>
      <c r="K18" s="640">
        <f>K16-K17</f>
        <v>-8145</v>
      </c>
      <c r="L18" s="641"/>
      <c r="M18" s="641">
        <f>M16-M17</f>
        <v>-7366</v>
      </c>
      <c r="N18" s="641"/>
      <c r="O18" s="642">
        <f t="shared" si="1"/>
        <v>10.575617702959539</v>
      </c>
      <c r="P18" s="626"/>
    </row>
    <row r="19" spans="2:16" s="589" customFormat="1" ht="19.5" customHeight="1">
      <c r="B19" s="625"/>
      <c r="C19" s="570" t="s">
        <v>83</v>
      </c>
      <c r="D19" s="570"/>
      <c r="E19" s="590"/>
      <c r="F19" s="591"/>
      <c r="G19" s="591"/>
      <c r="H19" s="591"/>
      <c r="I19" s="586"/>
      <c r="J19" s="591"/>
      <c r="K19" s="590"/>
      <c r="L19" s="591"/>
      <c r="M19" s="591"/>
      <c r="N19" s="591"/>
      <c r="O19" s="586"/>
      <c r="P19" s="626"/>
    </row>
    <row r="20" spans="2:16" s="566" customFormat="1" ht="19.5" customHeight="1">
      <c r="B20" s="623"/>
      <c r="C20" s="650" t="s">
        <v>158</v>
      </c>
      <c r="D20" s="650"/>
      <c r="E20" s="651">
        <f>ROUND('P &amp; L (company)'!C16/1000000,0)</f>
        <v>0</v>
      </c>
      <c r="F20" s="652"/>
      <c r="G20" s="652">
        <f>ROUND('P &amp; L (company)'!E16/1000000,0)</f>
        <v>0</v>
      </c>
      <c r="H20" s="652"/>
      <c r="I20" s="653" t="e">
        <f>(E20/G20-1)*100</f>
        <v>#DIV/0!</v>
      </c>
      <c r="J20" s="652"/>
      <c r="K20" s="651">
        <f>ROUND('P &amp; L (company)'!I16/1000000,0)</f>
        <v>-1338</v>
      </c>
      <c r="L20" s="652"/>
      <c r="M20" s="652">
        <f>ROUND('P &amp; L (company)'!K16/1000000,0)</f>
        <v>-1026</v>
      </c>
      <c r="N20" s="652"/>
      <c r="O20" s="653">
        <f>(K20/M20-1)*100</f>
        <v>30.409356725146196</v>
      </c>
      <c r="P20" s="624"/>
    </row>
    <row r="21" spans="2:16" s="569" customFormat="1" ht="19.5" customHeight="1">
      <c r="B21" s="627"/>
      <c r="C21" s="648" t="s">
        <v>154</v>
      </c>
      <c r="D21" s="648"/>
      <c r="E21" s="644">
        <f>ROUND('P &amp; L (company)'!C17/1000000,0)</f>
        <v>0</v>
      </c>
      <c r="F21" s="645"/>
      <c r="G21" s="645">
        <f>ROUND('P &amp; L (company)'!E17/1000000,0)</f>
        <v>0</v>
      </c>
      <c r="H21" s="645"/>
      <c r="I21" s="646" t="e">
        <f>(E21/G21-1)*100</f>
        <v>#DIV/0!</v>
      </c>
      <c r="J21" s="645"/>
      <c r="K21" s="644">
        <f>ROUND('P &amp; L (company)'!I17/1000000,0)</f>
        <v>-182</v>
      </c>
      <c r="L21" s="649"/>
      <c r="M21" s="645">
        <f>ROUND('P &amp; L (company)'!K17/1000000,0)</f>
        <v>-178</v>
      </c>
      <c r="N21" s="649"/>
      <c r="O21" s="646">
        <f>(K21/M21-1)*100</f>
        <v>2.2471910112359605</v>
      </c>
      <c r="P21" s="628"/>
    </row>
    <row r="22" spans="2:16" s="569" customFormat="1" ht="19.5" customHeight="1">
      <c r="B22" s="627"/>
      <c r="C22" s="648" t="s">
        <v>84</v>
      </c>
      <c r="D22" s="648"/>
      <c r="E22" s="644">
        <f>ROUND('P &amp; L (company)'!C18/1000000,0)</f>
        <v>0</v>
      </c>
      <c r="F22" s="645"/>
      <c r="G22" s="645">
        <f>ROUND('P &amp; L (company)'!E18/1000000,0)</f>
        <v>0</v>
      </c>
      <c r="H22" s="645"/>
      <c r="I22" s="646" t="e">
        <f>(E22/G22-1)*100</f>
        <v>#DIV/0!</v>
      </c>
      <c r="J22" s="645"/>
      <c r="K22" s="644">
        <f>ROUND('P &amp; L (company)'!I18/1000000,0)</f>
        <v>-15</v>
      </c>
      <c r="L22" s="649"/>
      <c r="M22" s="645">
        <f>ROUND('P &amp; L (company)'!K18/1000000,0)</f>
        <v>-12</v>
      </c>
      <c r="N22" s="649"/>
      <c r="O22" s="646">
        <f>(K22/M22-1)*100</f>
        <v>25</v>
      </c>
      <c r="P22" s="628"/>
    </row>
    <row r="23" spans="2:16" s="566" customFormat="1" ht="21.75" customHeight="1">
      <c r="B23" s="623"/>
      <c r="C23" s="573" t="s">
        <v>85</v>
      </c>
      <c r="D23" s="573"/>
      <c r="E23" s="584">
        <f>ROUND('P &amp; L (company)'!C20/1000000,0)</f>
        <v>0</v>
      </c>
      <c r="F23" s="585"/>
      <c r="G23" s="585">
        <f>ROUND('P &amp; L (company)'!E20/1000000,0)</f>
        <v>0</v>
      </c>
      <c r="H23" s="585"/>
      <c r="I23" s="586" t="e">
        <f>(E23/G23-1)*100</f>
        <v>#DIV/0!</v>
      </c>
      <c r="J23" s="585"/>
      <c r="K23" s="584">
        <f>ROUND('P &amp; L (company)'!I20/1000000,0)</f>
        <v>-1930</v>
      </c>
      <c r="L23" s="585"/>
      <c r="M23" s="585">
        <f>ROUND('P &amp; L (company)'!K20/1000000,0)</f>
        <v>-1731</v>
      </c>
      <c r="N23" s="585"/>
      <c r="O23" s="586">
        <f>(K23/M23-1)*100</f>
        <v>11.496244945118427</v>
      </c>
      <c r="P23" s="624"/>
    </row>
    <row r="24" spans="2:16" s="566" customFormat="1" ht="19.5" customHeight="1">
      <c r="B24" s="623"/>
      <c r="C24" s="608" t="s">
        <v>86</v>
      </c>
      <c r="D24" s="608"/>
      <c r="E24" s="609">
        <f>E20+E21+E22+E23</f>
        <v>0</v>
      </c>
      <c r="F24" s="610"/>
      <c r="G24" s="610">
        <f>G20+G21+G22+G23</f>
        <v>0</v>
      </c>
      <c r="H24" s="610"/>
      <c r="I24" s="611" t="e">
        <f>(E24/G24-1)*100</f>
        <v>#DIV/0!</v>
      </c>
      <c r="J24" s="610"/>
      <c r="K24" s="609">
        <f>K20+K21+K22+K23</f>
        <v>-3465</v>
      </c>
      <c r="L24" s="610"/>
      <c r="M24" s="610">
        <f>M20+M21+M22+M23</f>
        <v>-2947</v>
      </c>
      <c r="N24" s="610"/>
      <c r="O24" s="611">
        <f>(K24/M24-1)*100</f>
        <v>17.577197149643698</v>
      </c>
      <c r="P24" s="624"/>
    </row>
    <row r="25" spans="2:16" s="566" customFormat="1" ht="19.5" customHeight="1">
      <c r="B25" s="623"/>
      <c r="C25" s="573"/>
      <c r="D25" s="573"/>
      <c r="E25" s="584"/>
      <c r="F25" s="585"/>
      <c r="G25" s="585"/>
      <c r="H25" s="585"/>
      <c r="I25" s="586"/>
      <c r="J25" s="585"/>
      <c r="K25" s="584"/>
      <c r="L25" s="585"/>
      <c r="M25" s="585"/>
      <c r="N25" s="585"/>
      <c r="O25" s="586"/>
      <c r="P25" s="624"/>
    </row>
    <row r="26" spans="2:16" s="589" customFormat="1" ht="19.5" customHeight="1">
      <c r="B26" s="625"/>
      <c r="C26" s="654" t="s">
        <v>87</v>
      </c>
      <c r="D26" s="654"/>
      <c r="E26" s="655">
        <f>E18-E24</f>
        <v>0</v>
      </c>
      <c r="F26" s="656"/>
      <c r="G26" s="656">
        <f>G18-G24</f>
        <v>0</v>
      </c>
      <c r="H26" s="656"/>
      <c r="I26" s="653" t="e">
        <f>(E26/G26-1)*100</f>
        <v>#DIV/0!</v>
      </c>
      <c r="J26" s="656"/>
      <c r="K26" s="655">
        <f>K18-K24</f>
        <v>-4680</v>
      </c>
      <c r="L26" s="656"/>
      <c r="M26" s="656">
        <f>M18-M24</f>
        <v>-4419</v>
      </c>
      <c r="N26" s="656"/>
      <c r="O26" s="653">
        <f>(K26/M26-1)*100</f>
        <v>5.9063136456211751</v>
      </c>
      <c r="P26" s="626"/>
    </row>
    <row r="27" spans="2:16" s="566" customFormat="1" ht="19.5" customHeight="1">
      <c r="B27" s="623"/>
      <c r="C27" s="605" t="s">
        <v>421</v>
      </c>
      <c r="D27" s="605"/>
      <c r="E27" s="587">
        <f>ROUND('P &amp; L (company)'!C24/1000000,0)</f>
        <v>0</v>
      </c>
      <c r="F27" s="588"/>
      <c r="G27" s="588">
        <f>ROUND('P &amp; L (company)'!E24/1000000,0)</f>
        <v>0</v>
      </c>
      <c r="H27" s="588"/>
      <c r="I27" s="606" t="e">
        <f>(E27/G27-1)*100</f>
        <v>#DIV/0!</v>
      </c>
      <c r="J27" s="588"/>
      <c r="K27" s="587">
        <f>ROUND('P &amp; L (company)'!I24/1000000,0)</f>
        <v>-292</v>
      </c>
      <c r="L27" s="588"/>
      <c r="M27" s="588">
        <f>ROUND('P &amp; L (company)'!K24/1000000,0)</f>
        <v>-285</v>
      </c>
      <c r="N27" s="588"/>
      <c r="O27" s="606">
        <f>(K27/M27-1)*100</f>
        <v>2.4561403508772006</v>
      </c>
      <c r="P27" s="624"/>
    </row>
    <row r="28" spans="2:16" s="589" customFormat="1" ht="19.5" customHeight="1">
      <c r="B28" s="625"/>
      <c r="C28" s="639" t="s">
        <v>89</v>
      </c>
      <c r="D28" s="639"/>
      <c r="E28" s="640">
        <f>E26-E27</f>
        <v>0</v>
      </c>
      <c r="F28" s="641"/>
      <c r="G28" s="641">
        <f>G26-G27</f>
        <v>0</v>
      </c>
      <c r="H28" s="641"/>
      <c r="I28" s="642" t="e">
        <f>(E28/G28-1)*100</f>
        <v>#DIV/0!</v>
      </c>
      <c r="J28" s="641"/>
      <c r="K28" s="640">
        <f>K26-K27</f>
        <v>-4388</v>
      </c>
      <c r="L28" s="641"/>
      <c r="M28" s="641">
        <f>M26-M27</f>
        <v>-4134</v>
      </c>
      <c r="N28" s="641"/>
      <c r="O28" s="642">
        <f>(K28/M28-1)*100</f>
        <v>6.1441702951136934</v>
      </c>
      <c r="P28" s="626"/>
    </row>
    <row r="29" spans="2:16" s="589" customFormat="1" ht="19.5" customHeight="1">
      <c r="B29" s="625"/>
      <c r="C29" s="570"/>
      <c r="D29" s="570"/>
      <c r="E29" s="590"/>
      <c r="F29" s="591"/>
      <c r="G29" s="591"/>
      <c r="H29" s="591"/>
      <c r="I29" s="586"/>
      <c r="J29" s="591"/>
      <c r="K29" s="590"/>
      <c r="L29" s="591"/>
      <c r="M29" s="591"/>
      <c r="N29" s="591"/>
      <c r="O29" s="586"/>
      <c r="P29" s="626"/>
    </row>
    <row r="30" spans="2:16" s="566" customFormat="1" ht="19.5" customHeight="1">
      <c r="B30" s="623"/>
      <c r="C30" s="573" t="s">
        <v>90</v>
      </c>
      <c r="D30" s="573"/>
      <c r="E30" s="584">
        <f>ROUND('P &amp; L (company)'!C27/1000000,0)</f>
        <v>0</v>
      </c>
      <c r="F30" s="585"/>
      <c r="G30" s="585">
        <f>ROUND('P &amp; L (company)'!E27/1000000,0)</f>
        <v>0</v>
      </c>
      <c r="H30" s="585"/>
      <c r="I30" s="586" t="e">
        <f>(E30/G30-1)*100</f>
        <v>#DIV/0!</v>
      </c>
      <c r="J30" s="585"/>
      <c r="K30" s="584">
        <f>ROUND('P &amp; L (company)'!I27/1000000,0)</f>
        <v>-1263</v>
      </c>
      <c r="L30" s="585"/>
      <c r="M30" s="585">
        <f>ROUND('P &amp; L (company)'!K27/1000000,0)</f>
        <v>-1285</v>
      </c>
      <c r="N30" s="585"/>
      <c r="O30" s="586">
        <f>(K30/M30-1)*100</f>
        <v>-1.7120622568093435</v>
      </c>
      <c r="P30" s="624"/>
    </row>
    <row r="31" spans="2:16" s="589" customFormat="1" ht="19.5" customHeight="1" thickBot="1">
      <c r="B31" s="625"/>
      <c r="C31" s="601" t="s">
        <v>149</v>
      </c>
      <c r="D31" s="601"/>
      <c r="E31" s="602">
        <f>E28-E30</f>
        <v>0</v>
      </c>
      <c r="F31" s="603"/>
      <c r="G31" s="603">
        <f>G28-G30</f>
        <v>0</v>
      </c>
      <c r="H31" s="603"/>
      <c r="I31" s="604" t="e">
        <f>(E31/G31-1)*100</f>
        <v>#DIV/0!</v>
      </c>
      <c r="J31" s="603"/>
      <c r="K31" s="602">
        <f>K28-K30</f>
        <v>-3125</v>
      </c>
      <c r="L31" s="603"/>
      <c r="M31" s="603">
        <f>M28-M30</f>
        <v>-2849</v>
      </c>
      <c r="N31" s="603"/>
      <c r="O31" s="604">
        <f>(K31/M31-1)*100</f>
        <v>9.6876096876096884</v>
      </c>
      <c r="P31" s="626"/>
    </row>
    <row r="32" spans="2:16" s="566" customFormat="1" ht="19.5" customHeight="1">
      <c r="B32" s="623"/>
      <c r="C32" s="573"/>
      <c r="D32" s="573"/>
      <c r="E32" s="584"/>
      <c r="F32" s="594"/>
      <c r="G32" s="592"/>
      <c r="H32" s="592"/>
      <c r="I32" s="586"/>
      <c r="J32" s="592"/>
      <c r="K32" s="584"/>
      <c r="L32" s="585"/>
      <c r="M32" s="585"/>
      <c r="N32" s="585"/>
      <c r="O32" s="586"/>
      <c r="P32" s="624"/>
    </row>
    <row r="33" spans="2:16" s="566" customFormat="1" ht="19.5" customHeight="1">
      <c r="B33" s="623"/>
      <c r="C33" s="643" t="s">
        <v>458</v>
      </c>
      <c r="D33" s="643"/>
      <c r="E33" s="674">
        <f>E31/(Shares!H26/1000000)</f>
        <v>0</v>
      </c>
      <c r="F33" s="675"/>
      <c r="G33" s="675">
        <v>1.98</v>
      </c>
      <c r="H33" s="675"/>
      <c r="I33" s="676">
        <f>(E33/G33-1)*100</f>
        <v>-100</v>
      </c>
      <c r="J33" s="675"/>
      <c r="K33" s="674">
        <f>K31/(1579862482/1000000)</f>
        <v>-1.9780202616394558</v>
      </c>
      <c r="L33" s="675"/>
      <c r="M33" s="675">
        <f>M31/(1579862482/1000000)</f>
        <v>-1.803321512131459</v>
      </c>
      <c r="N33" s="677"/>
      <c r="O33" s="676">
        <f t="shared" ref="O33" si="2">(K33/M33-1)*100</f>
        <v>9.6876096876096884</v>
      </c>
      <c r="P33" s="624"/>
    </row>
    <row r="34" spans="2:16" s="566" customFormat="1" ht="8.25" customHeight="1" thickBot="1">
      <c r="B34" s="623"/>
      <c r="C34" s="573"/>
      <c r="D34" s="573"/>
      <c r="E34" s="598"/>
      <c r="F34" s="595"/>
      <c r="G34" s="595"/>
      <c r="H34" s="595"/>
      <c r="I34" s="596"/>
      <c r="J34" s="595"/>
      <c r="K34" s="598"/>
      <c r="L34" s="595"/>
      <c r="M34" s="595"/>
      <c r="N34" s="597"/>
      <c r="O34" s="596"/>
      <c r="P34" s="624"/>
    </row>
    <row r="35" spans="2:16" s="599" customFormat="1">
      <c r="B35" s="629"/>
      <c r="C35" s="600"/>
      <c r="D35" s="600"/>
      <c r="E35" s="630"/>
      <c r="F35" s="600"/>
      <c r="G35" s="600"/>
      <c r="H35" s="600"/>
      <c r="I35" s="600"/>
      <c r="J35" s="600"/>
      <c r="K35" s="631"/>
      <c r="L35" s="631" t="e">
        <v>#REF!</v>
      </c>
      <c r="M35" s="631"/>
      <c r="N35" s="631"/>
      <c r="O35" s="600"/>
      <c r="P35" s="632"/>
    </row>
    <row r="36" spans="2:16" s="566" customFormat="1" ht="19.5" customHeight="1">
      <c r="B36" s="623"/>
      <c r="C36" s="573" t="s">
        <v>146</v>
      </c>
      <c r="D36" s="573"/>
      <c r="E36" s="633"/>
      <c r="F36" s="633"/>
      <c r="G36" s="633"/>
      <c r="H36" s="633"/>
      <c r="I36" s="633"/>
      <c r="J36" s="633"/>
      <c r="K36" s="634"/>
      <c r="L36" s="593"/>
      <c r="M36" s="634"/>
      <c r="N36" s="634"/>
      <c r="O36" s="573"/>
      <c r="P36" s="624"/>
    </row>
    <row r="37" spans="2:16" s="566" customFormat="1" ht="19.5" customHeight="1">
      <c r="B37" s="623"/>
      <c r="C37" s="573" t="s">
        <v>177</v>
      </c>
      <c r="D37" s="573"/>
      <c r="E37" s="585"/>
      <c r="F37" s="573"/>
      <c r="G37" s="573"/>
      <c r="H37" s="573"/>
      <c r="I37" s="573"/>
      <c r="J37" s="573"/>
      <c r="K37" s="593"/>
      <c r="L37" s="593"/>
      <c r="M37" s="634"/>
      <c r="N37" s="634"/>
      <c r="O37" s="573"/>
      <c r="P37" s="624"/>
    </row>
    <row r="38" spans="2:16" ht="16.5" thickBot="1">
      <c r="B38" s="635"/>
      <c r="C38" s="17"/>
      <c r="D38" s="17"/>
      <c r="E38" s="636"/>
      <c r="F38" s="17"/>
      <c r="G38" s="17"/>
      <c r="H38" s="17"/>
      <c r="I38" s="17"/>
      <c r="J38" s="17"/>
      <c r="K38" s="637"/>
      <c r="L38" s="637"/>
      <c r="M38" s="637"/>
      <c r="N38" s="637"/>
      <c r="O38" s="17"/>
      <c r="P38" s="638"/>
    </row>
  </sheetData>
  <mergeCells count="4">
    <mergeCell ref="K7:M7"/>
    <mergeCell ref="E7:I7"/>
    <mergeCell ref="B2:P2"/>
    <mergeCell ref="B4:P4"/>
  </mergeCells>
  <pageMargins left="0.5" right="0.1" top="0.75" bottom="0.75" header="0.3" footer="0.3"/>
  <pageSetup paperSize="9" scale="77" orientation="portrait" r:id="rId1"/>
  <headerFooter>
    <oddFooter>&amp;C&amp;"Times New Roman,Regular"&amp;12 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61</vt:i4>
      </vt:variant>
    </vt:vector>
  </HeadingPairs>
  <TitlesOfParts>
    <vt:vector size="105" baseType="lpstr">
      <vt:lpstr>Cover</vt:lpstr>
      <vt:lpstr>Front</vt:lpstr>
      <vt:lpstr>Contents</vt:lpstr>
      <vt:lpstr>BS</vt:lpstr>
      <vt:lpstr>2 (IS)</vt:lpstr>
      <vt:lpstr>3 (OCI)</vt:lpstr>
      <vt:lpstr>Debenture (2)</vt:lpstr>
      <vt:lpstr>Shares (2)</vt:lpstr>
      <vt:lpstr>P &amp; L company</vt:lpstr>
      <vt:lpstr>P &amp; L group</vt:lpstr>
      <vt:lpstr>Compreh. In Co</vt:lpstr>
      <vt:lpstr>Compreh. In Gr</vt:lpstr>
      <vt:lpstr>CE_Company</vt:lpstr>
      <vt:lpstr>CE_Group</vt:lpstr>
      <vt:lpstr>CF final</vt:lpstr>
      <vt:lpstr>Segment</vt:lpstr>
      <vt:lpstr>Shares</vt:lpstr>
      <vt:lpstr>Shareholders</vt:lpstr>
      <vt:lpstr>Notes</vt:lpstr>
      <vt:lpstr>Debenture</vt:lpstr>
      <vt:lpstr>Cop Infor</vt:lpstr>
      <vt:lpstr>End</vt:lpstr>
      <vt:lpstr>1 (BS)</vt:lpstr>
      <vt:lpstr>4 (Ratios) (2)</vt:lpstr>
      <vt:lpstr>Shareholders (2)</vt:lpstr>
      <vt:lpstr>4 (Ratios)</vt:lpstr>
      <vt:lpstr>Ratio cal</vt:lpstr>
      <vt:lpstr>P &amp; L (C &amp; G)</vt:lpstr>
      <vt:lpstr>P &amp; L (company)</vt:lpstr>
      <vt:lpstr>P &amp; L (group)</vt:lpstr>
      <vt:lpstr>Compreh. Income (C &amp; G)</vt:lpstr>
      <vt:lpstr>Compreh. Income (C)</vt:lpstr>
      <vt:lpstr>Compreh. Income (G)</vt:lpstr>
      <vt:lpstr>BS (3)</vt:lpstr>
      <vt:lpstr>CE_Company (2)</vt:lpstr>
      <vt:lpstr>CE_Group 1 (2)</vt:lpstr>
      <vt:lpstr>CF (3)</vt:lpstr>
      <vt:lpstr>BS (4)</vt:lpstr>
      <vt:lpstr>Segment final</vt:lpstr>
      <vt:lpstr>CF Working - 2014</vt:lpstr>
      <vt:lpstr>CF Working - 2013</vt:lpstr>
      <vt:lpstr>Contingencies &amp; comm</vt:lpstr>
      <vt:lpstr>Sheet1</vt:lpstr>
      <vt:lpstr>Sheet3</vt:lpstr>
      <vt:lpstr>BS!OLE_LINK1</vt:lpstr>
      <vt:lpstr>'BS (3)'!OLE_LINK1</vt:lpstr>
      <vt:lpstr>'BS (4)'!OLE_LINK1</vt:lpstr>
      <vt:lpstr>CE_Company!OLE_LINK1</vt:lpstr>
      <vt:lpstr>'CE_Company (2)'!OLE_LINK1</vt:lpstr>
      <vt:lpstr>CE_Group!OLE_LINK1</vt:lpstr>
      <vt:lpstr>'CE_Group 1 (2)'!OLE_LINK1</vt:lpstr>
      <vt:lpstr>'Compreh. In Co'!OLE_LINK1</vt:lpstr>
      <vt:lpstr>'Compreh. In Gr'!OLE_LINK1</vt:lpstr>
      <vt:lpstr>'Compreh. Income (C &amp; G)'!OLE_LINK1</vt:lpstr>
      <vt:lpstr>'Compreh. Income (C)'!OLE_LINK1</vt:lpstr>
      <vt:lpstr>'Compreh. Income (G)'!OLE_LINK1</vt:lpstr>
      <vt:lpstr>'P &amp; L (C &amp; G)'!OLE_LINK1</vt:lpstr>
      <vt:lpstr>'P &amp; L (company)'!OLE_LINK1</vt:lpstr>
      <vt:lpstr>'P &amp; L (group)'!OLE_LINK1</vt:lpstr>
      <vt:lpstr>'P &amp; L company'!OLE_LINK1</vt:lpstr>
      <vt:lpstr>'P &amp; L group'!OLE_LINK1</vt:lpstr>
      <vt:lpstr>'1 (BS)'!Print_Area</vt:lpstr>
      <vt:lpstr>'2 (IS)'!Print_Area</vt:lpstr>
      <vt:lpstr>'3 (OCI)'!Print_Area</vt:lpstr>
      <vt:lpstr>'4 (Ratios)'!Print_Area</vt:lpstr>
      <vt:lpstr>'4 (Ratios) (2)'!Print_Area</vt:lpstr>
      <vt:lpstr>BS!Print_Area</vt:lpstr>
      <vt:lpstr>'BS (3)'!Print_Area</vt:lpstr>
      <vt:lpstr>'BS (4)'!Print_Area</vt:lpstr>
      <vt:lpstr>CE_Company!Print_Area</vt:lpstr>
      <vt:lpstr>'CE_Company (2)'!Print_Area</vt:lpstr>
      <vt:lpstr>CE_Group!Print_Area</vt:lpstr>
      <vt:lpstr>'CE_Group 1 (2)'!Print_Area</vt:lpstr>
      <vt:lpstr>'CF (3)'!Print_Area</vt:lpstr>
      <vt:lpstr>'CF final'!Print_Area</vt:lpstr>
      <vt:lpstr>'CF Working - 2013'!Print_Area</vt:lpstr>
      <vt:lpstr>'CF Working - 2014'!Print_Area</vt:lpstr>
      <vt:lpstr>'Compreh. In Co'!Print_Area</vt:lpstr>
      <vt:lpstr>'Compreh. In Gr'!Print_Area</vt:lpstr>
      <vt:lpstr>'Compreh. Income (C &amp; G)'!Print_Area</vt:lpstr>
      <vt:lpstr>'Compreh. Income (C)'!Print_Area</vt:lpstr>
      <vt:lpstr>'Compreh. Income (G)'!Print_Area</vt:lpstr>
      <vt:lpstr>Contents!Print_Area</vt:lpstr>
      <vt:lpstr>'Contingencies &amp; comm'!Print_Area</vt:lpstr>
      <vt:lpstr>'Cop Infor'!Print_Area</vt:lpstr>
      <vt:lpstr>Cover!Print_Area</vt:lpstr>
      <vt:lpstr>Debenture!Print_Area</vt:lpstr>
      <vt:lpstr>'Debenture (2)'!Print_Area</vt:lpstr>
      <vt:lpstr>Notes!Print_Area</vt:lpstr>
      <vt:lpstr>'P &amp; L (C &amp; G)'!Print_Area</vt:lpstr>
      <vt:lpstr>'P &amp; L (company)'!Print_Area</vt:lpstr>
      <vt:lpstr>'P &amp; L (group)'!Print_Area</vt:lpstr>
      <vt:lpstr>'P &amp; L company'!Print_Area</vt:lpstr>
      <vt:lpstr>'P &amp; L group'!Print_Area</vt:lpstr>
      <vt:lpstr>'Ratio cal'!Print_Area</vt:lpstr>
      <vt:lpstr>Segment!Print_Area</vt:lpstr>
      <vt:lpstr>'Segment final'!Print_Area</vt:lpstr>
      <vt:lpstr>Shareholders!Print_Area</vt:lpstr>
      <vt:lpstr>'Shareholders (2)'!Print_Area</vt:lpstr>
      <vt:lpstr>Shares!Print_Area</vt:lpstr>
      <vt:lpstr>'Shares (2)'!Print_Area</vt:lpstr>
      <vt:lpstr>CE_Company!Print_Titles</vt:lpstr>
      <vt:lpstr>'CE_Company (2)'!Print_Titles</vt:lpstr>
      <vt:lpstr>CE_Group!Print_Titles</vt:lpstr>
      <vt:lpstr>'CE_Group 1 (2)'!Print_Titles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FS as at 31.12.2013</dc:title>
  <dc:creator>Asanka Nawarathna</dc:creator>
  <cp:lastModifiedBy>Compaq</cp:lastModifiedBy>
  <cp:lastPrinted>2020-10-31T06:39:07Z</cp:lastPrinted>
  <dcterms:created xsi:type="dcterms:W3CDTF">2013-07-03T05:38:09Z</dcterms:created>
  <dcterms:modified xsi:type="dcterms:W3CDTF">2021-04-14T00:33:17Z</dcterms:modified>
</cp:coreProperties>
</file>